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0_Dashboard" state="visible" r:id="rId4"/>
    <sheet sheetId="2" name="00_LichHen" state="visible" r:id="rId5"/>
    <sheet sheetId="3" name="01_UngVien_PhongVan" state="visible" r:id="rId6"/>
    <sheet sheetId="4" name="02_DS_Nhan_Viec" state="visible" r:id="rId7"/>
    <sheet sheetId="5" name="03_Ho_So_Nhan_Vien" state="visible" r:id="rId8"/>
    <sheet sheetId="6" name="04_DS_Nhan_Viec_Trong_Thang" state="visible" r:id="rId9"/>
    <sheet sheetId="7" name="05_Theo_Doi_Gio_Cong_7_Ngay" state="visible" r:id="rId10"/>
    <sheet sheetId="8" name="06_DS_Chinh_Thuc" state="visible" r:id="rId11"/>
    <sheet sheetId="9" name="07_Kiem_Tra_Tay_Nghe" state="visible" r:id="rId12"/>
  </sheets>
  <calcPr calcId="171027"/>
</workbook>
</file>

<file path=xl/sharedStrings.xml><?xml version="1.0" encoding="utf-8"?>
<sst xmlns="http://schemas.openxmlformats.org/spreadsheetml/2006/main" count="1160" uniqueCount="698">
  <si>
    <t>📊 DASHBOARD TỔNG QUÁT THEO DÕI NHÂN SỰ MỚI &amp; TUYỂN DỤNG</t>
  </si>
  <si>
    <t>CÔNG TY TNHH TM SẢN XUẤT D&amp;D LONG AN • Dữ liệu tự động đồng bộ thời gian thực</t>
  </si>
  <si>
    <t>👥 TỔNG ỨNG VIÊN PHỎNG VẤN</t>
  </si>
  <si>
    <t>✅ ỨNG VIÊN ĐẠT YÊU CẦU</t>
  </si>
  <si>
    <t>💼 ĐÃ TIẾP NHẬN VIỆC THỰC TẾ</t>
  </si>
  <si>
    <t>🏆 ĐÃ CHUYỂN CHÍNH THỨC</t>
  </si>
  <si>
    <t>1. PHÂN BỔ NHÂN SỰ MỚI THEO CHUYỀN / BỘ PHẬN</t>
  </si>
  <si>
    <t>2. THEO DÕI TIẾN ĐỘ THỬ VIỆC 7 NGÀY &amp; TAY NGHỀ</t>
  </si>
  <si>
    <t>Chuyền / Bộ Phận</t>
  </si>
  <si>
    <t>Ứng Tuyển (PV)</t>
  </si>
  <si>
    <t>Đã Nhận Việc</t>
  </si>
  <si>
    <t>Chính Thức</t>
  </si>
  <si>
    <t>Tổng nhân sự đang theo dõi thử việc 7 ngày</t>
  </si>
  <si>
    <t>người</t>
  </si>
  <si>
    <t>Chuyền A</t>
  </si>
  <si>
    <t>Đã hoàn thành đủ 7 ngày công (≥8h)</t>
  </si>
  <si>
    <t>Chuyền B</t>
  </si>
  <si>
    <t>Chưa đủ 7 ngày công (Đang tích lũy)</t>
  </si>
  <si>
    <t>Chuyền C</t>
  </si>
  <si>
    <t>Tỷ lệ vượt qua thử việc 7 ngày</t>
  </si>
  <si>
    <t>%</t>
  </si>
  <si>
    <t>Chuyền Chuẩn Bị</t>
  </si>
  <si>
    <t>Tổng số lượt kiểm tra tay nghề đã lên lịch</t>
  </si>
  <si>
    <t>lượt</t>
  </si>
  <si>
    <t>Chuyền Chặt</t>
  </si>
  <si>
    <t>KT Tay nghề Lần 1: Đạt yêu cầu</t>
  </si>
  <si>
    <t>Kho &amp; Bảo Trì</t>
  </si>
  <si>
    <t>KT Tay nghề Lần 1: Cần kèm cặp thêm</t>
  </si>
  <si>
    <t>Văn phòng / Khác</t>
  </si>
  <si>
    <t>KT Tay nghề Lần 2: Đã hoàn tất kiểm tra</t>
  </si>
  <si>
    <t>TỔNG CỘNG</t>
  </si>
  <si>
    <t>📅 LỊCH CÔNG VIỆC ĐẾN HẸN THEO DÕI NHÂN SỰ</t>
  </si>
  <si>
    <t>🔴 1. CÔNG VIỆC ĐẾN HẠN HÔM NAY (CẦN XỬ LÝ NGAY TRONG NGÀY)</t>
  </si>
  <si>
    <t>STT</t>
  </si>
  <si>
    <t>Loại Công Việc</t>
  </si>
  <si>
    <t>Mã UV / NV</t>
  </si>
  <si>
    <t>Họ và Tên</t>
  </si>
  <si>
    <t>Vị Trí / Chuyền</t>
  </si>
  <si>
    <t>Ngày Hẹn</t>
  </si>
  <si>
    <t>Trạng Thái</t>
  </si>
  <si>
    <t>Hành Động Cần Thực Hiện</t>
  </si>
  <si>
    <t>Kiểm tra tay nghề (Lần 1)</t>
  </si>
  <si>
    <t>UV0826-014</t>
  </si>
  <si>
    <t>Phan Văn Cánh</t>
  </si>
  <si>
    <t>Chờ kiểm tra</t>
  </si>
  <si>
    <t>Tổ trưởng kiểm tra thao tác &amp; chấm điểm</t>
  </si>
  <si>
    <t>UV0826-015</t>
  </si>
  <si>
    <t>Nguyễn Văn Nhơn</t>
  </si>
  <si>
    <t>Nhận việc &amp; Điểm danh ngày 1</t>
  </si>
  <si>
    <t>UV0926-003</t>
  </si>
  <si>
    <t>Nguyễn Văn Mỹ</t>
  </si>
  <si>
    <t>Đến nhận việc</t>
  </si>
  <si>
    <t>Hướng dẫn vào chuyền &amp; điểm danh giờ công</t>
  </si>
  <si>
    <t>Hạn Đủ 7 ngày thử việc</t>
  </si>
  <si>
    <t>NV008 (492)</t>
  </si>
  <si>
    <t>Cao Thị Thu Phương</t>
  </si>
  <si>
    <t>Đạt 7/7 ngày (8h)</t>
  </si>
  <si>
    <t>Lấy dấu vân tay &amp; Chuyển chính thức</t>
  </si>
  <si>
    <t>NV009 (495)</t>
  </si>
  <si>
    <t>Lâm Hữu An</t>
  </si>
  <si>
    <t>Chuyền A (May)</t>
  </si>
  <si>
    <t>🟡 2. CÔNG VIỆC ĐẾN HẠN NGÀY MAI (CHUẨN BỊ TRƯỚC TIẾP NHẬN)</t>
  </si>
  <si>
    <t>Hẹn Phỏng vấn ứng viên</t>
  </si>
  <si>
    <t>UV0926-015</t>
  </si>
  <si>
    <t>Trần Thị Kim Loan</t>
  </si>
  <si>
    <t>Thợ may ráp</t>
  </si>
  <si>
    <t>Đã hẹn 8h30</t>
  </si>
  <si>
    <t>Phòng HCNS chuẩn bị phiếu phỏng vấn</t>
  </si>
  <si>
    <t>Hẹn Nhận việc thực tế</t>
  </si>
  <si>
    <t>UV0926-006</t>
  </si>
  <si>
    <t>Lê Văn Hùng</t>
  </si>
  <si>
    <t>Chuyền B (May)</t>
  </si>
  <si>
    <t>Đã xác nhận</t>
  </si>
  <si>
    <t>Quản đốc chuẩn bị vị trí máy may</t>
  </si>
  <si>
    <t>Kiểm tra tay nghề (Lần 2)</t>
  </si>
  <si>
    <t>UV0826-016</t>
  </si>
  <si>
    <t>Nguyễn Nam Phương</t>
  </si>
  <si>
    <t>Đến hạn Lần 2</t>
  </si>
  <si>
    <t>Đánh giá nâng bậc thợ &amp; mức lương</t>
  </si>
  <si>
    <t xml:space="preserve">STT
(tự động)</t>
  </si>
  <si>
    <t xml:space="preserve">Mã ứng viên
(tự động)</t>
  </si>
  <si>
    <t>Ngày phỏng vấn</t>
  </si>
  <si>
    <t>Họ và tên (IN HOA) *</t>
  </si>
  <si>
    <t>Số điện thoại</t>
  </si>
  <si>
    <t>Giới tính</t>
  </si>
  <si>
    <t>Ngày sinh</t>
  </si>
  <si>
    <t>Dân tộc</t>
  </si>
  <si>
    <t>Tình trạng hôn nhân</t>
  </si>
  <si>
    <t>Số CCCD</t>
  </si>
  <si>
    <t>Ngày cấp CCCD</t>
  </si>
  <si>
    <t>Nơi cấp CCCD</t>
  </si>
  <si>
    <t>Địa chỉ thường trú</t>
  </si>
  <si>
    <t>Chỗ ở hiện tại (nếu khác)</t>
  </si>
  <si>
    <t>Trình độ học vấn (lớp)</t>
  </si>
  <si>
    <t>Người liên hệ khẩn cấp</t>
  </si>
  <si>
    <t>SĐT khẩn cấp</t>
  </si>
  <si>
    <t>Vị trí/Công đoạn ứng tuyển</t>
  </si>
  <si>
    <t>Xưởng/Chuyền mong muốn</t>
  </si>
  <si>
    <t>Ngày có thể bắt đầu</t>
  </si>
  <si>
    <t>Nguồn tuyển dụng</t>
  </si>
  <si>
    <t>Người thân đang làm tại công ty</t>
  </si>
  <si>
    <t>Quan hệ</t>
  </si>
  <si>
    <t>Công đoạn/tay nghề đã từng làm</t>
  </si>
  <si>
    <t>Tổng số năm kinh nghiệm</t>
  </si>
  <si>
    <t>Công ty gần nhất đã làm</t>
  </si>
  <si>
    <t>Công đoạn đảm nhiệm (cty cũ)</t>
  </si>
  <si>
    <t>Thời gian làm việc (cty cũ)</t>
  </si>
  <si>
    <t>Lương ở vị trí cũ</t>
  </si>
  <si>
    <t>Lương khoán</t>
  </si>
  <si>
    <t>Lương mong muốn</t>
  </si>
  <si>
    <t>Lý do nghỉ việc ở cty cũ</t>
  </si>
  <si>
    <t>Chiều cao (cm)</t>
  </si>
  <si>
    <t>Cân nặng (kg)</t>
  </si>
  <si>
    <t>Thị lực (đeo kính?)</t>
  </si>
  <si>
    <t>Thuận tay</t>
  </si>
  <si>
    <t>Bệnh mãn tính/dị ứng</t>
  </si>
  <si>
    <t>Đã có giấy khám sức khỏe</t>
  </si>
  <si>
    <t>Đang mang thai/nuôi con nhỏ</t>
  </si>
  <si>
    <t>Khả năng đáp ứng (liệt kê)</t>
  </si>
  <si>
    <t>Khoảng cách từ nhà→NM (km)</t>
  </si>
  <si>
    <t>Phương tiện đi lại</t>
  </si>
  <si>
    <t>Có nhu cầu ở ký túc xá</t>
  </si>
  <si>
    <t>Nhận xét thái độ, tác phong</t>
  </si>
  <si>
    <t>Mức lương dự kiến (VNĐ/th)</t>
  </si>
  <si>
    <t>Chuyền/tổ dự kiến bố trí</t>
  </si>
  <si>
    <t>Ngày hẹn kiểm tra tay nghề</t>
  </si>
  <si>
    <t>Kết quả phỏng vấn</t>
  </si>
  <si>
    <t>Người phỏng vấn</t>
  </si>
  <si>
    <t>Ngày đánh giá</t>
  </si>
  <si>
    <t>Ngày nộp hồ sơ * (tạo mã)</t>
  </si>
  <si>
    <t>Ngày hẹn nhận việc</t>
  </si>
  <si>
    <t xml:space="preserve">Trạng thái nhận việc
(tự động ← 02)</t>
  </si>
  <si>
    <t>Ghi chú</t>
  </si>
  <si>
    <t xml:space="preserve">Trạng thái tổng hợp
(tự động - ẩn dùng nội bộ)</t>
  </si>
  <si>
    <t>Lê Thị Ngọc Quyên</t>
  </si>
  <si>
    <t>0876271351</t>
  </si>
  <si>
    <t>Nữ</t>
  </si>
  <si>
    <t>A8/4, ấp 19, Tân Nhựt, TP.HCM</t>
  </si>
  <si>
    <t>Đạt</t>
  </si>
  <si>
    <t>Huỳnh Thị Thu Hà</t>
  </si>
  <si>
    <t>Lâm Ngọc Bình</t>
  </si>
  <si>
    <t>0703141419</t>
  </si>
  <si>
    <t>A3/9N, Ấp 1, Tân Kiên, Bình Chánh, TP.HCM</t>
  </si>
  <si>
    <t>Trần Đức Trí</t>
  </si>
  <si>
    <t>Nam</t>
  </si>
  <si>
    <t>B15/325/114, Kênh C, đường Thế Lữ, Tân Nhựt, Bình Chánh</t>
  </si>
  <si>
    <t>Huỳnh Thị Thuý Vân</t>
  </si>
  <si>
    <t>0787504875</t>
  </si>
  <si>
    <t>Xã Tân Nhựt, TP.HCM</t>
  </si>
  <si>
    <t>Nguyễn Hoàng Thiện</t>
  </si>
  <si>
    <t>0704696156</t>
  </si>
  <si>
    <t>Ấp 1, xã Tân Quý Tây, Bình Chánh, TP.HCM</t>
  </si>
  <si>
    <t>Võ Quốc Kiệt</t>
  </si>
  <si>
    <t>0906081847</t>
  </si>
  <si>
    <t>A13/12, tổ 18, Tân Nhựt, TP.HCM</t>
  </si>
  <si>
    <t>Trần Thị Thuý</t>
  </si>
  <si>
    <t>0394499874</t>
  </si>
  <si>
    <t>49, Lô F, đường số 13, ấp 2, xã Tân Kiên</t>
  </si>
  <si>
    <t>Nguyễn Thị Thuý</t>
  </si>
  <si>
    <t>0763823028</t>
  </si>
  <si>
    <t>B15/304 Tổ 15, Ấp 2, Xã Tân Nhựt, Huyện Bình Chánh, TP.HCM</t>
  </si>
  <si>
    <t>Bùi Thị Phương Anh</t>
  </si>
  <si>
    <t>0337547095</t>
  </si>
  <si>
    <t>E4/79A, ấp 10, xã Tân Nhựt, TP.HCM</t>
  </si>
  <si>
    <t>Lương Thị Thắm</t>
  </si>
  <si>
    <t>0974055125</t>
  </si>
  <si>
    <t>A9/15L6 Bông Văn Dĩa, ấp 1, Tân Kiên, Bình Chánh</t>
  </si>
  <si>
    <t>Thợ may</t>
  </si>
  <si>
    <t>0906302457</t>
  </si>
  <si>
    <t>092175012898</t>
  </si>
  <si>
    <t>Bộ Công An</t>
  </si>
  <si>
    <t>B12/10 Tân Kiên, Bình Chánh</t>
  </si>
  <si>
    <t>Văn Thị Kiều Tiên</t>
  </si>
  <si>
    <t>0934308309</t>
  </si>
  <si>
    <t>079205006440</t>
  </si>
  <si>
    <t>Công an TP.HCM</t>
  </si>
  <si>
    <t>0769416388</t>
  </si>
  <si>
    <t>Trần Ngọc Bảo Trân</t>
  </si>
  <si>
    <t>0931276018</t>
  </si>
  <si>
    <t>082305000281</t>
  </si>
  <si>
    <t>Tân Kiên, Bình Chánh, TP.HCM</t>
  </si>
  <si>
    <t>Ngô Thanh Phong</t>
  </si>
  <si>
    <t>0165527440</t>
  </si>
  <si>
    <t>Lê Thị Cẩm Hồng</t>
  </si>
  <si>
    <t>0947148884</t>
  </si>
  <si>
    <t>092305002124</t>
  </si>
  <si>
    <t>Công an</t>
  </si>
  <si>
    <t>D14/10 Tân Nhựt, Bình Chánh</t>
  </si>
  <si>
    <t>Nguyễn Nhân Hoàng</t>
  </si>
  <si>
    <t>0944449827</t>
  </si>
  <si>
    <t>Chu Nữ Ngọc Song Linh</t>
  </si>
  <si>
    <t>0777722211</t>
  </si>
  <si>
    <t>092308004177</t>
  </si>
  <si>
    <t>Công an Cần Thơ</t>
  </si>
  <si>
    <t>Khu Dân Cư Hai Thành, Phường, Số 8, Tân Tạo, Bình Tân</t>
  </si>
  <si>
    <t>Chu Đình Minh</t>
  </si>
  <si>
    <t>09186655622</t>
  </si>
  <si>
    <t>Thạch Thị Cẩm Tiên</t>
  </si>
  <si>
    <t>Ấp 1, Tân Kiên, Bình Chánh</t>
  </si>
  <si>
    <t>Nguyễn Thị Kiều</t>
  </si>
  <si>
    <t>0353522484</t>
  </si>
  <si>
    <t>Trần Thị Đó</t>
  </si>
  <si>
    <t>0878989449</t>
  </si>
  <si>
    <t>087176009951</t>
  </si>
  <si>
    <t>Công an An Giang</t>
  </si>
  <si>
    <t>Đường Cây Bàng, Tân Nhựt, Bình Chánh, TP.HCM</t>
  </si>
  <si>
    <t>Nguyễn Hữu Tài</t>
  </si>
  <si>
    <t>0908389030</t>
  </si>
  <si>
    <t>Lê Trọng Nghĩa</t>
  </si>
  <si>
    <t>083083010594</t>
  </si>
  <si>
    <t>Công an Bến Tre</t>
  </si>
  <si>
    <t>A8/10, Đường Bông Văn Dĩa, Ấp 1, Tân Kiên, Bình Chánh</t>
  </si>
  <si>
    <t>A8/10 Đường Đông, Xóm Đá, Ấp 1, Tân Kiên, Bình Chánh</t>
  </si>
  <si>
    <t>Võ Văn Phi</t>
  </si>
  <si>
    <t>0907352811</t>
  </si>
  <si>
    <t>091099010131</t>
  </si>
  <si>
    <t>D3/18C, Ấp 45, Xã Tân Nhựt, TP.HCM</t>
  </si>
  <si>
    <t>Lê Thị Hiếu Nghĩa</t>
  </si>
  <si>
    <t>0388532324</t>
  </si>
  <si>
    <t>Danh Thị Tuyến</t>
  </si>
  <si>
    <t>0937087382</t>
  </si>
  <si>
    <t>087308011389</t>
  </si>
  <si>
    <t>Danh Toàn</t>
  </si>
  <si>
    <t>0931817882</t>
  </si>
  <si>
    <t>Nguyễn Hữu Đức</t>
  </si>
  <si>
    <t>0386521142</t>
  </si>
  <si>
    <t>089083017210</t>
  </si>
  <si>
    <t>B1/20 Ấp 36, Tân Nhựt, Bình Chánh</t>
  </si>
  <si>
    <t>Võ Thị Mộng Điệp</t>
  </si>
  <si>
    <t>0908733944</t>
  </si>
  <si>
    <t>Thợ chặt</t>
  </si>
  <si>
    <t>Làm 4 tiếng buổi sáng rồi nghỉ. Lý do: mức lương không phù hợp</t>
  </si>
  <si>
    <t>Võ Thị Thanh Tuyền</t>
  </si>
  <si>
    <t>0879655242</t>
  </si>
  <si>
    <t>080177011474</t>
  </si>
  <si>
    <t>Công an Long An</t>
  </si>
  <si>
    <t>0868143000</t>
  </si>
  <si>
    <t>C14/429B Tổ 14, Ấp 3, Tân Nhựt, Bình Chánh, TP.HCM</t>
  </si>
  <si>
    <t>8/12</t>
  </si>
  <si>
    <t>Nguyễn Văn Hào</t>
  </si>
  <si>
    <t>0986572536</t>
  </si>
  <si>
    <t>Tổ trưởng</t>
  </si>
  <si>
    <t>Kinh nghiệm ngành giày + may</t>
  </si>
  <si>
    <t>Công ty TNHH Giày dép Hoàng Vũ</t>
  </si>
  <si>
    <t>Tổ trưởng may + chặt</t>
  </si>
  <si>
    <t>22.000.000</t>
  </si>
  <si>
    <t>Công ty không đáp ứng nguồn hàng</t>
  </si>
  <si>
    <t>Chị Trang</t>
  </si>
  <si>
    <t>0399628997</t>
  </si>
  <si>
    <t>Phú Cần, Tiểu Cần, Trà Vinh</t>
  </si>
  <si>
    <t>3/12</t>
  </si>
  <si>
    <t>Nguyễn Văn Mến Em</t>
  </si>
  <si>
    <t>0382329792</t>
  </si>
  <si>
    <t>Giao nhận hàng</t>
  </si>
  <si>
    <t>Kim Thị Đi Na</t>
  </si>
  <si>
    <t>Cháu</t>
  </si>
  <si>
    <t>Công ty Bột giặt BD</t>
  </si>
  <si>
    <t>Chất hàng + Lơ xe</t>
  </si>
  <si>
    <t>280.000/8 tiếng</t>
  </si>
  <si>
    <t>Đi ca liên tục</t>
  </si>
  <si>
    <t>Đứng làm việc lâu, nâng vác vật nặng, biết ghi chép sổ sách, làm ca đêm, Tăng ca ngoài giờ</t>
  </si>
  <si>
    <t>Đi bộ</t>
  </si>
  <si>
    <t>0379101756</t>
  </si>
  <si>
    <t>Kinh</t>
  </si>
  <si>
    <t>0753090069849</t>
  </si>
  <si>
    <t>68/2B, KP Khánh Hưng, Trấn Biên, Đồng Nai</t>
  </si>
  <si>
    <t>9/12</t>
  </si>
  <si>
    <t>Đào tạo may</t>
  </si>
  <si>
    <t>Làm nơi ồn/bụi, tăng ca ngoài giờ, làm cuối tuần/lễ</t>
  </si>
  <si>
    <t>Thạch Thị Trúc Xuân</t>
  </si>
  <si>
    <t>0348107667</t>
  </si>
  <si>
    <t>Học việc</t>
  </si>
  <si>
    <t>Nguyễn Thị Mỹ Linh</t>
  </si>
  <si>
    <t>0563046538</t>
  </si>
  <si>
    <t>Đã kết hôn</t>
  </si>
  <si>
    <t>079305032574</t>
  </si>
  <si>
    <t>A8/35, Đường Bông Văn Dĩa, Ấp 1, Tân Kiên, Bình Chánh</t>
  </si>
  <si>
    <t>Nguyễn Thị Mỹ Lệ</t>
  </si>
  <si>
    <t>0706004065</t>
  </si>
  <si>
    <t>Thủ công</t>
  </si>
  <si>
    <t>Nidet VN</t>
  </si>
  <si>
    <t>Lắp ráp</t>
  </si>
  <si>
    <t>370.000/ngày</t>
  </si>
  <si>
    <t>Sinh em bé</t>
  </si>
  <si>
    <t>Phan Kim Ánh</t>
  </si>
  <si>
    <t>0708386978</t>
  </si>
  <si>
    <t>079176003196</t>
  </si>
  <si>
    <t>13, Hồ Văn Long, Bình Tân, TP.HCM</t>
  </si>
  <si>
    <t>Huỳnh Trung Nhân</t>
  </si>
  <si>
    <t>0985562142</t>
  </si>
  <si>
    <t>Kinh nghiệm ngành giày</t>
  </si>
  <si>
    <t>Công ty thú nhồi bông</t>
  </si>
  <si>
    <t>Công đoạn hoàn tất</t>
  </si>
  <si>
    <t>Nguyễn Thị Hoàng Oanh</t>
  </si>
  <si>
    <t>0772349169</t>
  </si>
  <si>
    <t>1982`</t>
  </si>
  <si>
    <t>082182020853</t>
  </si>
  <si>
    <t>Công an Tiền Giang</t>
  </si>
  <si>
    <t>A11/2, tổ 3, ấp 1, Hưng Long, Bình Chánh, TP.HCM</t>
  </si>
  <si>
    <t>12/12</t>
  </si>
  <si>
    <t>Nguyễn Thành Lộc</t>
  </si>
  <si>
    <t>0378998399</t>
  </si>
  <si>
    <t>Trợ lý chặt</t>
  </si>
  <si>
    <t>Chặt</t>
  </si>
  <si>
    <t>Kinh nghiệm ngành giày, Gò/Ráp đế (giày da)</t>
  </si>
  <si>
    <t>PonYuen</t>
  </si>
  <si>
    <t>Cán bộ trưởng khoa đế</t>
  </si>
  <si>
    <t>12.000.000</t>
  </si>
  <si>
    <t>Phải</t>
  </si>
  <si>
    <t>Không có</t>
  </si>
  <si>
    <t>Đứng làm việc lâu, Làm nơi ồn/bụi, Biết ghi chép sổ sách, Làm đa năng, Tăng ca ngoài giờ, Làm cuối tuần/lễ</t>
  </si>
  <si>
    <t>Xe máy</t>
  </si>
  <si>
    <t>7.000.000</t>
  </si>
  <si>
    <t>Lê Thị Mỹ Lệ</t>
  </si>
  <si>
    <t>0937531436</t>
  </si>
  <si>
    <t>074181009530</t>
  </si>
  <si>
    <t>Công an Bình Dương</t>
  </si>
  <si>
    <t>KP An Hoà, Hoà Lợi, Thị xã Bến Cát, Bình Dương</t>
  </si>
  <si>
    <t>16/17 ấp 1, xã Bình Chánh, TPHCM</t>
  </si>
  <si>
    <t>7/12</t>
  </si>
  <si>
    <t>Nguyễn Thanh Tùng</t>
  </si>
  <si>
    <t>0939789726</t>
  </si>
  <si>
    <t>May</t>
  </si>
  <si>
    <t>Kinh nghiệm ngành giày, May công nghiệp 1 kim</t>
  </si>
  <si>
    <t>Công ty giày Bình Dương</t>
  </si>
  <si>
    <t>Lấy chồng</t>
  </si>
  <si>
    <t>May phải đeo kính</t>
  </si>
  <si>
    <t>Đứng làm việc lâu, Làm đa năng, Làm nơi ồn/bụi, Tăng ca ngoài giờ, Làm cuối tuần/lễ</t>
  </si>
  <si>
    <t>Nguyễn Thị Cẩm Hương</t>
  </si>
  <si>
    <t>0971869442</t>
  </si>
  <si>
    <t>083179003640</t>
  </si>
  <si>
    <t>Ấp Tân Long, Thạnh Phước, Bình Đại, Bến Tre</t>
  </si>
  <si>
    <t>Số 7, ấp 2, Tân Kiên, Bình Chánh, TPHCM</t>
  </si>
  <si>
    <t>6/12</t>
  </si>
  <si>
    <t>Nguyễn Thanh Phong</t>
  </si>
  <si>
    <t>0972179847</t>
  </si>
  <si>
    <t>Thợ thủ công</t>
  </si>
  <si>
    <t>Kinh nghiệm ngành giày, Kinh nghiệm may laban</t>
  </si>
  <si>
    <t>Lộn vòng cổ, dán TC</t>
  </si>
  <si>
    <t>Nghỉ 10 năm do BHXH</t>
  </si>
  <si>
    <t>Không</t>
  </si>
  <si>
    <t>Nguyễn Văn Triết</t>
  </si>
  <si>
    <t>0966726098</t>
  </si>
  <si>
    <t>087201014415</t>
  </si>
  <si>
    <t>283a, ấp Phú Thọ, An Long Đồng Tháp</t>
  </si>
  <si>
    <t>1132/20, tỉnh lộ 10, Tân Tạo, TPHCM</t>
  </si>
  <si>
    <t>Trần Thị Thuỳ</t>
  </si>
  <si>
    <t>0384992650</t>
  </si>
  <si>
    <t>Ép đế thành hình</t>
  </si>
  <si>
    <t>6.050.000</t>
  </si>
  <si>
    <t>Về quê lập gia đình</t>
  </si>
  <si>
    <t>Đứng làm việc lâu, Nâng vác vật nặng, Làm nơi ồn/bụi, Làm đa năng, Tăng ca ngoài giờ</t>
  </si>
  <si>
    <t>089300015945</t>
  </si>
  <si>
    <t>Tổ 3, ấp Vĩnh Tường 1, Châu Phong, Tân Châu, An Giang</t>
  </si>
  <si>
    <t>Chưa có tay nghề</t>
  </si>
  <si>
    <t>5.900.000</t>
  </si>
  <si>
    <t>May không được nên xin nghỉ</t>
  </si>
  <si>
    <t>Nguyễn Tuyết Ngân</t>
  </si>
  <si>
    <t>0909002256</t>
  </si>
  <si>
    <t>079191028394</t>
  </si>
  <si>
    <t>C1/27, Tổ 1, Ấp 3, Tân Kiên, Bình Chánh, TP.HCM</t>
  </si>
  <si>
    <t>Nguyễn Đại Tôn</t>
  </si>
  <si>
    <t>0906920233</t>
  </si>
  <si>
    <t>Chuẩn bị</t>
  </si>
  <si>
    <t>Tỷ Thạc</t>
  </si>
  <si>
    <t>Kho keo (pha keo)</t>
  </si>
  <si>
    <t>Cận thị</t>
  </si>
  <si>
    <t>Đạt – hẹn thử tay nghề</t>
  </si>
  <si>
    <t>Thạch Thị Giàu</t>
  </si>
  <si>
    <t>Độc thân</t>
  </si>
  <si>
    <t>084311006205</t>
  </si>
  <si>
    <t>Ấp Chông Nô 3, Hào Tân, Cầu Kè, Trà Vinh</t>
  </si>
  <si>
    <t>A8/10, Bông Văn Dĩa, Tân Nhựt, TP.HCM</t>
  </si>
  <si>
    <t>Nguyễn Văn Mến</t>
  </si>
  <si>
    <t>Nhơn</t>
  </si>
  <si>
    <t>Anh</t>
  </si>
  <si>
    <t>Công Ty Mouse</t>
  </si>
  <si>
    <t>Đếm lớp mouse</t>
  </si>
  <si>
    <t>220.000/ngày</t>
  </si>
  <si>
    <t>Hết hàng (Chờ việc nhiều)</t>
  </si>
  <si>
    <t>Đứng làm việc lâu, Làm đa năng, Làm nơi ồn/bụi, Tăng ca ngoài giờ, Làm cuối tuần/lễ, Biết ghi chép sổ sách</t>
  </si>
  <si>
    <t>0866967457</t>
  </si>
  <si>
    <t>089204012857</t>
  </si>
  <si>
    <t>Ấp Tân Hậu, A2 Tân An, Tân Châu, An Giang</t>
  </si>
  <si>
    <t>Số 3, Lô K, Đường số 4, ấp 12, Tân Nhựt, TP.HCM</t>
  </si>
  <si>
    <t>Phạm Thị Nguyên</t>
  </si>
  <si>
    <t>0865005457</t>
  </si>
  <si>
    <t>Học chặt</t>
  </si>
  <si>
    <t>Kinh nghiệm ngành giày, Hoàn thiện, Đóng gói</t>
  </si>
  <si>
    <t>Công ty giấy nhám</t>
  </si>
  <si>
    <t>Đứng máy cắt</t>
  </si>
  <si>
    <t>8.500.000 (bao gồm cơm+phụ cấp)</t>
  </si>
  <si>
    <t>Công ty dời địa điểm</t>
  </si>
  <si>
    <t>Đứng làm việc lâu, Nâng vác vật nặng, Làm nơi ồn/bụi, Làm đa năng, Tăng ca ngoài giờ, Tăng ca cuối tuần/lễ</t>
  </si>
  <si>
    <t>Đỗ Trần Mỹ Trúc</t>
  </si>
  <si>
    <t>0398419055</t>
  </si>
  <si>
    <t>080188003572</t>
  </si>
  <si>
    <t>Công an Tây Ninh</t>
  </si>
  <si>
    <t>Chung cư HQC, Khu phố 29, Bình Trị Đông, TP.HCM</t>
  </si>
  <si>
    <t>Trần Vinh Quốc Khánh</t>
  </si>
  <si>
    <t>0937593198</t>
  </si>
  <si>
    <t>Công nhân</t>
  </si>
  <si>
    <t>Kinh nghiệm ngành giày, Đóng gói</t>
  </si>
  <si>
    <t>Công ty giày ChingLu</t>
  </si>
  <si>
    <t>Đóng gói giày thành phẩm</t>
  </si>
  <si>
    <t>Có</t>
  </si>
  <si>
    <t>Làm nơi ồn/bụi, Làm cuối tuần/lễ</t>
  </si>
  <si>
    <t>Chồng đưa rước</t>
  </si>
  <si>
    <t>Trần Nguyễn Văn Mạnh</t>
  </si>
  <si>
    <t>0933824526</t>
  </si>
  <si>
    <t>079208002012</t>
  </si>
  <si>
    <t>175/3, Phan Văn Khoẻ, Phường 5, Quận 5, Quận 6, TP.HCM</t>
  </si>
  <si>
    <t>5/12</t>
  </si>
  <si>
    <t>Trần Thị Tuyết Phương</t>
  </si>
  <si>
    <t>0772768190</t>
  </si>
  <si>
    <t>Bạn giới thiệu</t>
  </si>
  <si>
    <t>Kiệt</t>
  </si>
  <si>
    <t>Bạn</t>
  </si>
  <si>
    <t>Kinh nghiệm ngành giày, Cắt/Trải vải (Chặt)</t>
  </si>
  <si>
    <t>Vinh Hải</t>
  </si>
  <si>
    <t>Chặt liệu</t>
  </si>
  <si>
    <t>5.400.000</t>
  </si>
  <si>
    <t>Tăng ca sáng đêm không nổi</t>
  </si>
  <si>
    <t>Người nhà đưa rước</t>
  </si>
  <si>
    <t>Võ Thị Tú Nhi</t>
  </si>
  <si>
    <t>0906695780</t>
  </si>
  <si>
    <t>095186007858</t>
  </si>
  <si>
    <t>160/2/24 Đội Cung, Bình Thới, TP.HCM</t>
  </si>
  <si>
    <t>118, Nguyễn Đình Kiên, Tân Nhựt, TP.HCM</t>
  </si>
  <si>
    <t>11/12</t>
  </si>
  <si>
    <t>Nguyễn Văn Hộp</t>
  </si>
  <si>
    <t>0364249959</t>
  </si>
  <si>
    <t>Nam Sài Gòn</t>
  </si>
  <si>
    <t>Dán tem (Phân bón lá)</t>
  </si>
  <si>
    <t>5.500.000</t>
  </si>
  <si>
    <t>Đứng làm việc lâu,  Làm nơi ồn/bụi, Làm đa năng, Tăng ca ngoài giờ, Tăng ca cuối tuần/lễ</t>
  </si>
  <si>
    <t>Phạm Thị Hồng Ngân</t>
  </si>
  <si>
    <t>0378248366</t>
  </si>
  <si>
    <t>087182020203</t>
  </si>
  <si>
    <t>Công an Đồng Tháp</t>
  </si>
  <si>
    <t>Ấp Mỹ Tân, Phú Điền, Tháp Mười, Đồng Tháp</t>
  </si>
  <si>
    <t>D9/11 Dương Đình Cúc, xã Tân Nhựt</t>
  </si>
  <si>
    <t>Bùi Công Quẩn</t>
  </si>
  <si>
    <t>0973390170</t>
  </si>
  <si>
    <t>Thợ May</t>
  </si>
  <si>
    <t>Facebook</t>
  </si>
  <si>
    <t>Kinh nghiệm ngành giày, Kinh nghiệm ngành may, May công nghiệp 1 kim, May 2 kim/Kansai</t>
  </si>
  <si>
    <t>hơn 10 năm</t>
  </si>
  <si>
    <t>May gia công</t>
  </si>
  <si>
    <t>6.000.000</t>
  </si>
  <si>
    <t>Cần chế độ</t>
  </si>
  <si>
    <t>Nguyễn Văn Hối</t>
  </si>
  <si>
    <t>0332295229</t>
  </si>
  <si>
    <t>087090000023</t>
  </si>
  <si>
    <t>Công an Quảng Bình</t>
  </si>
  <si>
    <t>Thôn 7, Mỹ Trạch, Bố Trạch, Quảng Bình</t>
  </si>
  <si>
    <t>KP4, Phường Thuận An, TP.HCM</t>
  </si>
  <si>
    <t>Nguyễn Thị Bích Thuận</t>
  </si>
  <si>
    <t>Bảo trì</t>
  </si>
  <si>
    <t>Công ty nhân</t>
  </si>
  <si>
    <t>Tăng ca đêm nhiều không đảm bảo sức khoẻ</t>
  </si>
  <si>
    <t>Nguyễn Thị Dứt</t>
  </si>
  <si>
    <t>0394012905</t>
  </si>
  <si>
    <t>082187021790</t>
  </si>
  <si>
    <t>Ấp Mỹ Thạnh, Thanh Mỹ, Tháp Mười, Đồng Tháp</t>
  </si>
  <si>
    <t>770/4A, Lê Đức Anh, KP 40, Bình Tân, TP.HCM</t>
  </si>
  <si>
    <t>Nguyễn Văn Luân</t>
  </si>
  <si>
    <t>0986133405</t>
  </si>
  <si>
    <t>Kinh nghiệm ngành giày, Kinh nghiệm ngành may, Gò/Ráp đế, May công nghiệp 1 kim, Thủ công</t>
  </si>
  <si>
    <t>Thái Hưng</t>
  </si>
  <si>
    <t>May túi</t>
  </si>
  <si>
    <t>230.000/ngày</t>
  </si>
  <si>
    <t>Chuyên cần + TN 500k</t>
  </si>
  <si>
    <t>Vướng BHXH</t>
  </si>
  <si>
    <t>Võ Thị Hồng Lệ</t>
  </si>
  <si>
    <t>0812717050</t>
  </si>
  <si>
    <t>094183004560</t>
  </si>
  <si>
    <t>Công an Sóc Trăng</t>
  </si>
  <si>
    <t>Ấp Kiết Nhất A, Lâm Tân, Thạch Trị, Sóc Trăng</t>
  </si>
  <si>
    <t>Ấp 6, Tân Nhựt, Tp.HCM</t>
  </si>
  <si>
    <t>Võ Thị Thanh Nhanh</t>
  </si>
  <si>
    <t>0918939112</t>
  </si>
  <si>
    <t>Chị Lê</t>
  </si>
  <si>
    <t>Kinh nghiệm ngành giày, May công nghiệp 1 kim, May 2 kim/Kansai</t>
  </si>
  <si>
    <t>Chuyên cần + TN 800k</t>
  </si>
  <si>
    <t>BHXH (lên app không có)</t>
  </si>
  <si>
    <t>Mã ứng viên*</t>
  </si>
  <si>
    <t>Họ và tên (auto)</t>
  </si>
  <si>
    <t>Ngày hẹn nhận việc (auto)</t>
  </si>
  <si>
    <t>Ngày nhận việc thực tế</t>
  </si>
  <si>
    <t>Có đến nhận việc không? (auto)</t>
  </si>
  <si>
    <t>Ngày lấy dấu vân tay (auto, +7 ngày làm việc)</t>
  </si>
  <si>
    <t>Đơn vị/Bộ phận</t>
  </si>
  <si>
    <t>Chức vụ</t>
  </si>
  <si>
    <t>Mã NV tạm thời (auto)</t>
  </si>
  <si>
    <t>Thuộc kỳ lọc (auto - ẩn dùng nội bộ)</t>
  </si>
  <si>
    <t xml:space="preserve">STT đã nhận việc
(tự động - nội bộ)</t>
  </si>
  <si>
    <t>UV0726-001</t>
  </si>
  <si>
    <t>UV0726-002</t>
  </si>
  <si>
    <t>Chuyền chặt</t>
  </si>
  <si>
    <t>UV0726-003</t>
  </si>
  <si>
    <t>UV0726-004</t>
  </si>
  <si>
    <t>UV0726-005</t>
  </si>
  <si>
    <t>UV0726-006</t>
  </si>
  <si>
    <t>UV0726-007</t>
  </si>
  <si>
    <t>UV0726-008</t>
  </si>
  <si>
    <t>UV0726-009</t>
  </si>
  <si>
    <t>UV0726-010</t>
  </si>
  <si>
    <t>UV0826-001</t>
  </si>
  <si>
    <t>UV0826-002</t>
  </si>
  <si>
    <t>UV0826-003</t>
  </si>
  <si>
    <t>UV0826-004</t>
  </si>
  <si>
    <t>UV0826-005</t>
  </si>
  <si>
    <t>UV0826-006</t>
  </si>
  <si>
    <t>UV0826-007</t>
  </si>
  <si>
    <t>UV0826-008</t>
  </si>
  <si>
    <t>UV0826-009</t>
  </si>
  <si>
    <t>UV0826-010</t>
  </si>
  <si>
    <t>UV0826-011</t>
  </si>
  <si>
    <t>UV0826-012</t>
  </si>
  <si>
    <t>UV0826-013</t>
  </si>
  <si>
    <t>UV0826-017</t>
  </si>
  <si>
    <t>UV0826-018</t>
  </si>
  <si>
    <t>UV0826-019</t>
  </si>
  <si>
    <t>UV0826-020</t>
  </si>
  <si>
    <t>UV0826-021</t>
  </si>
  <si>
    <t>UV0826-022</t>
  </si>
  <si>
    <t>UV0826-023</t>
  </si>
  <si>
    <t>UV0826-024</t>
  </si>
  <si>
    <t>UV0926-001</t>
  </si>
  <si>
    <t>UV0926-002</t>
  </si>
  <si>
    <t>UV0926-004</t>
  </si>
  <si>
    <t>UV0926-005</t>
  </si>
  <si>
    <t>UV0926-007</t>
  </si>
  <si>
    <t>Đã nghỉ</t>
  </si>
  <si>
    <t>UV0926-008</t>
  </si>
  <si>
    <t>UV0926-009</t>
  </si>
  <si>
    <t>UV0926-010</t>
  </si>
  <si>
    <t>Mã ứng viên</t>
  </si>
  <si>
    <t>Mã NV</t>
  </si>
  <si>
    <t>Số thẻ chính thức</t>
  </si>
  <si>
    <t>Họ và tên</t>
  </si>
  <si>
    <t>Chỗ ở hiện tại</t>
  </si>
  <si>
    <t>Trình độ học vấn</t>
  </si>
  <si>
    <t>Người LH khẩn cấp</t>
  </si>
  <si>
    <t>Vị trí ứng tuyển</t>
  </si>
  <si>
    <t>Ngày dự kiến đạt chuẩn (lấy vân tay)</t>
  </si>
  <si>
    <t>Trạng thái theo dõi 7 ngày</t>
  </si>
  <si>
    <t>Trạng thái lấy vân tay</t>
  </si>
  <si>
    <t>DANH SÁCH NHẬN VIỆC TRONG THÁNG</t>
  </si>
  <si>
    <t>Tháng cần xem:</t>
  </si>
  <si>
    <t>Năm:</t>
  </si>
  <si>
    <t>Tổng số dự kiến nhận việc:</t>
  </si>
  <si>
    <t>Đã đến nhận việc:</t>
  </si>
  <si>
    <t>Không đến nhận việc:</t>
  </si>
  <si>
    <t>Mã NV/Mã ứng viên</t>
  </si>
  <si>
    <t>Trạng thái nhận việc</t>
  </si>
  <si>
    <t>Mã NV*</t>
  </si>
  <si>
    <t>Ngày nhận việc (auto)</t>
  </si>
  <si>
    <t>Giờ công ngày 1</t>
  </si>
  <si>
    <t>Giờ công ngày 2</t>
  </si>
  <si>
    <t>Giờ công ngày 3</t>
  </si>
  <si>
    <t>Giờ công ngày 4</t>
  </si>
  <si>
    <t>Giờ công ngày 5</t>
  </si>
  <si>
    <t>Giờ công ngày 6</t>
  </si>
  <si>
    <t>Giờ công ngày 7</t>
  </si>
  <si>
    <t>Số ngày đạt chuẩn (auto, ≥8h)</t>
  </si>
  <si>
    <t>Trạng thái đủ 7 ngày (auto)</t>
  </si>
  <si>
    <t>STT chính thức (auto)</t>
  </si>
  <si>
    <t xml:space="preserve">Ngày dự kiến đạt chuẩn
(lấy vân tay) - tự động</t>
  </si>
  <si>
    <t xml:space="preserve">Trạng thái lấy vân tay
(tự động)</t>
  </si>
  <si>
    <t xml:space="preserve">Số thẻ chính thức
(NHẬP TAY sau khi lấy vân tay)</t>
  </si>
  <si>
    <t>NV001</t>
  </si>
  <si>
    <t>NV002</t>
  </si>
  <si>
    <t>NV003</t>
  </si>
  <si>
    <t>NV004</t>
  </si>
  <si>
    <t>Nhân viên cũ</t>
  </si>
  <si>
    <t>NV005</t>
  </si>
  <si>
    <t>NV006</t>
  </si>
  <si>
    <t>NV007</t>
  </si>
  <si>
    <t>NV008</t>
  </si>
  <si>
    <t>NV009</t>
  </si>
  <si>
    <t>NV010</t>
  </si>
  <si>
    <t>NV011</t>
  </si>
  <si>
    <t>NV012</t>
  </si>
  <si>
    <t>NV013</t>
  </si>
  <si>
    <t>NV014</t>
  </si>
  <si>
    <t>NV015</t>
  </si>
  <si>
    <t>NV016</t>
  </si>
  <si>
    <t>NV017</t>
  </si>
  <si>
    <t>NV018</t>
  </si>
  <si>
    <t>NV019</t>
  </si>
  <si>
    <t>NV020</t>
  </si>
  <si>
    <t>NV021</t>
  </si>
  <si>
    <t>NV022</t>
  </si>
  <si>
    <t>NV023</t>
  </si>
  <si>
    <t>NV024</t>
  </si>
  <si>
    <t>NV025</t>
  </si>
  <si>
    <t>NV026</t>
  </si>
  <si>
    <t>NV027</t>
  </si>
  <si>
    <t>NV028</t>
  </si>
  <si>
    <t>NV029</t>
  </si>
  <si>
    <t>NV030</t>
  </si>
  <si>
    <t>NV031</t>
  </si>
  <si>
    <t>NV032</t>
  </si>
  <si>
    <t>NV033</t>
  </si>
  <si>
    <t>NV034</t>
  </si>
  <si>
    <t>NV035</t>
  </si>
  <si>
    <t>NV036</t>
  </si>
  <si>
    <t xml:space="preserve">Số thẻ
(chính thức)</t>
  </si>
  <si>
    <t>Ngày lấy dấu vân tay (auto)</t>
  </si>
  <si>
    <t>Đơn vị/Bộ phận (auto)</t>
  </si>
  <si>
    <t>Chức vụ (auto)</t>
  </si>
  <si>
    <t>SĐT (auto)</t>
  </si>
  <si>
    <t>Đã lấy vân tay?</t>
  </si>
  <si>
    <t>Đã đưa vào DS lương?</t>
  </si>
  <si>
    <t>Trạng thái làm việc</t>
  </si>
  <si>
    <t>Đang làm</t>
  </si>
  <si>
    <t xml:space="preserve">Mã ứng viên*
(nhập/dán mã)</t>
  </si>
  <si>
    <t>Vị trí/Công đoạn ứng tuyển (auto)</t>
  </si>
  <si>
    <t>Ngày nhận việc thực tế (auto)</t>
  </si>
  <si>
    <t>Ngày hẹn KT tay nghề - LẦN 1 (auto = ngày nhận việc)</t>
  </si>
  <si>
    <t>Ngày hẹn KT tay nghề - LẦN 2 (auto = +2 tuần)</t>
  </si>
  <si>
    <t>[LẦN 1] Ngày kiểm tra thực tế</t>
  </si>
  <si>
    <t>[LẦN 1] Xưởng/Chuyền kiểm tra</t>
  </si>
  <si>
    <t>[LẦN 1] Người hướng dẫn</t>
  </si>
  <si>
    <t>[LẦN 1] Người kiểm tra (Tổ trưởng/Quản đốc)</t>
  </si>
  <si>
    <t>[LẦN 1] Mã hàng/Sản phẩm mẫu</t>
  </si>
  <si>
    <t>[LẦN 1] Công đoạn kiểm tra</t>
  </si>
  <si>
    <t>[LẦN 1] Loại máy sử dụng</t>
  </si>
  <si>
    <t>[LẦN 1] Giờ bắt đầu</t>
  </si>
  <si>
    <t>[LẦN 1] Giờ kết thúc</t>
  </si>
  <si>
    <t>[LẦN 1] Tổng thời gian làm (auto)</t>
  </si>
  <si>
    <t>[LẦN 1] Định mức chuẩn (SP/ca)</t>
  </si>
  <si>
    <t>[LẦN 1] Yêu cầu kỹ thuật/hướng dẫn đã phổ biến</t>
  </si>
  <si>
    <t>[LẦN 1] Số SP hoàn thành</t>
  </si>
  <si>
    <t>[LẦN 1] Số SP đạt</t>
  </si>
  <si>
    <t>[LẦN 1] Số SP lỗi (auto)</t>
  </si>
  <si>
    <t>[LẦN 1] Tỷ lệ đạt % (auto)</t>
  </si>
  <si>
    <t>[LẦN 1] So với định mức chuẩn % (auto)</t>
  </si>
  <si>
    <t>[LẦN 1] Lỗi thường gặp khi thao tác</t>
  </si>
  <si>
    <t>[LẦN 1] TC1: Thao tác, kỹ thuật nghề</t>
  </si>
  <si>
    <t>[LẦN 1] TC2: Chất lượng đường may/SP</t>
  </si>
  <si>
    <t>[LẦN 1] TC3: Tốc độ, năng suất</t>
  </si>
  <si>
    <t>[LẦN 1] TC4: Sử dụng &amp; bảo quản máy móc</t>
  </si>
  <si>
    <t>[LẦN 1] TC5: An toàn lao động</t>
  </si>
  <si>
    <t>[LẦN 1] TC6: Vệ sinh công nghiệp, sắp xếp chỗ làm</t>
  </si>
  <si>
    <t>[LẦN 1] TC7: Khả năng tiếp thu hướng dẫn</t>
  </si>
  <si>
    <t>[LẦN 1] Xếp loại tay nghề chung</t>
  </si>
  <si>
    <t>[LẦN 1] Nhận xét của người kiểm tra</t>
  </si>
  <si>
    <t>[LẦN 1] Bậc thợ đề xuất</t>
  </si>
  <si>
    <t>[LẦN 1] Bố trí chuyền/tổ đề xuất</t>
  </si>
  <si>
    <t>[LẦN 1] Mức lương đề xuất (VNĐ/tháng)</t>
  </si>
  <si>
    <t>[LẦN 1] Kết luận</t>
  </si>
  <si>
    <t>[LẦN 1] Chức vụ người kiểm tra</t>
  </si>
  <si>
    <t>[LẦN 2] Ngày kiểm tra thực tế</t>
  </si>
  <si>
    <t>[LẦN 2] Xưởng/Chuyền kiểm tra</t>
  </si>
  <si>
    <t>[LẦN 2] Người hướng dẫn</t>
  </si>
  <si>
    <t>[LẦN 2] Người kiểm tra (Tổ trưởng/Quản đốc)</t>
  </si>
  <si>
    <t>[LẦN 2] Mã hàng/Sản phẩm mẫu</t>
  </si>
  <si>
    <t>[LẦN 2] Công đoạn kiểm tra</t>
  </si>
  <si>
    <t>[LẦN 2] Loại máy sử dụng</t>
  </si>
  <si>
    <t>[LẦN 2] Giờ bắt đầu</t>
  </si>
  <si>
    <t>[LẦN 2] Giờ kết thúc</t>
  </si>
  <si>
    <t>[LẦN 2] Tổng thời gian làm (auto)</t>
  </si>
  <si>
    <t>[LẦN 2] Định mức chuẩn (SP/ca)</t>
  </si>
  <si>
    <t>[LẦN 2] Yêu cầu kỹ thuật/hướng dẫn đã phổ biến</t>
  </si>
  <si>
    <t>[LẦN 2] Số SP hoàn thành</t>
  </si>
  <si>
    <t>[LẦN 2] Số SP đạt</t>
  </si>
  <si>
    <t>[LẦN 2] Số SP lỗi (auto)</t>
  </si>
  <si>
    <t>[LẦN 2] Tỷ lệ đạt % (auto)</t>
  </si>
  <si>
    <t>[LẦN 2] So với định mức chuẩn % (auto)</t>
  </si>
  <si>
    <t>[LẦN 2] Lỗi thường gặp khi thao tác</t>
  </si>
  <si>
    <t>[LẦN 2] TC1: Thao tác, kỹ thuật nghề</t>
  </si>
  <si>
    <t>[LẦN 2] TC2: Chất lượng đường may/SP</t>
  </si>
  <si>
    <t>[LẦN 2] TC3: Tốc độ, năng suất</t>
  </si>
  <si>
    <t>[LẦN 2] TC4: Sử dụng &amp; bảo quản máy móc</t>
  </si>
  <si>
    <t>[LẦN 2] TC5: An toàn lao động</t>
  </si>
  <si>
    <t>[LẦN 2] TC6: Vệ sinh công nghiệp, sắp xếp chỗ làm</t>
  </si>
  <si>
    <t>[LẦN 2] TC7: Khả năng tiếp thu hướng dẫn</t>
  </si>
  <si>
    <t>[LẦN 2] Xếp loại tay nghề chung</t>
  </si>
  <si>
    <t>[LẦN 2] Nhận xét của người kiểm tra</t>
  </si>
  <si>
    <t>[LẦN 2] Bậc thợ đề xuất</t>
  </si>
  <si>
    <t>[LẦN 2] Bố trí chuyền/tổ đề xuất</t>
  </si>
  <si>
    <t>[LẦN 2] Mức lương đề xuất (VNĐ/tháng)</t>
  </si>
  <si>
    <t>[LẦN 2] Kết luận</t>
  </si>
  <si>
    <t>[LẦN 2] Chức vụ người kiểm tra</t>
  </si>
  <si>
    <t>Kho</t>
  </si>
  <si>
    <t>Thọ</t>
  </si>
  <si>
    <t>Hiếu</t>
  </si>
  <si>
    <t>Mặt hàng</t>
  </si>
  <si>
    <t>Giao hàng</t>
  </si>
  <si>
    <t>Khá</t>
  </si>
  <si>
    <t>Tập trung trong giờ làm, chú ý.</t>
  </si>
  <si>
    <t>S41</t>
  </si>
  <si>
    <t>Chải lông</t>
  </si>
  <si>
    <t>Chải không đều lông</t>
  </si>
  <si>
    <t>Thử việc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</si>
</sst>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dd/mm/yyyy"/>
    <numFmt numFmtId="166" formatCode="hh:mm"/>
    <numFmt numFmtId="167" formatCode="[h]:mm"/>
  </numFmts>
  <fonts count="32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64748B"/>
      <sz val="10"/>
      <name val="Calibri"/>
    </font>
    <font>
      <b/>
      <color rgb="FF166534"/>
      <sz val="9"/>
      <name val="Calibri"/>
    </font>
    <font>
      <b/>
      <color rgb="FF0369A1"/>
      <sz val="9"/>
      <name val="Calibri"/>
    </font>
    <font>
      <b/>
      <color rgb="FF92400E"/>
      <sz val="9"/>
      <name val="Calibri"/>
    </font>
    <font>
      <b/>
      <color rgb="FF6B21A8"/>
      <sz val="9"/>
      <name val="Calibri"/>
    </font>
    <font>
      <b/>
      <color rgb="FF166534"/>
      <sz val="18"/>
      <name val="Calibri"/>
    </font>
    <font>
      <b/>
      <color rgb="FF0369A1"/>
      <sz val="18"/>
      <name val="Calibri"/>
    </font>
    <font>
      <b/>
      <color rgb="FF92400E"/>
      <sz val="18"/>
      <name val="Calibri"/>
    </font>
    <font>
      <b/>
      <color rgb="FF6B21A8"/>
      <sz val="18"/>
      <name val="Calibri"/>
    </font>
    <font>
      <b/>
      <color rgb="FFFFFFFF"/>
      <sz val="11"/>
      <name val="Calibri"/>
    </font>
    <font>
      <b/>
      <color rgb="FF334155"/>
      <sz val="10"/>
      <name val="Calibri"/>
    </font>
    <font>
      <color rgb="FF334155"/>
      <sz val="10"/>
      <name val="Calibri"/>
    </font>
    <font>
      <b/>
      <color rgb="FF0F172A"/>
      <sz val="10"/>
      <name val="Calibri"/>
    </font>
    <font>
      <i/>
      <color rgb="FF64748B"/>
      <sz val="9"/>
      <name val="Calibri"/>
    </font>
    <font>
      <b/>
      <color rgb="FF1E293B"/>
      <sz val="10"/>
      <name val="Calibri"/>
    </font>
    <font>
      <sz val="10"/>
      <name val="Calibri"/>
    </font>
    <font>
      <b/>
      <sz val="10"/>
      <name val="Calibri"/>
    </font>
    <font>
      <b/>
      <color rgb="FFFFFFFF"/>
      <sz val="15"/>
      <name val="Calibri"/>
    </font>
    <font>
      <b/>
      <color rgb="FF881337"/>
      <sz val="10"/>
      <name val="Calibri"/>
    </font>
    <font>
      <b/>
      <color rgb="FFBE123C"/>
      <sz val="10"/>
      <name val="Calibri"/>
    </font>
    <font>
      <color rgb="FF0F172A"/>
      <sz val="10"/>
      <name val="Calibri"/>
    </font>
    <font>
      <b/>
      <color rgb="FFD97706"/>
      <sz val="10"/>
      <name val="Calibri"/>
    </font>
    <font>
      <b/>
      <color rgb="FFFFFFFF"/>
      <sz val="11"/>
      <name val="Arial"/>
    </font>
    <font>
      <color theme="1"/>
      <sz val="11"/>
      <name val="Arial"/>
    </font>
    <font>
      <color theme="1"/>
      <sz val="11"/>
      <name val="Calibri"/>
    </font>
    <font>
      <color theme="1"/>
      <sz val="10"/>
      <name val="Arial"/>
    </font>
    <font>
      <b/>
      <color rgb="FF1F4E78"/>
      <sz val="14"/>
      <name val="Calibri"/>
    </font>
    <font>
      <b/>
      <color rgb="FF1F4E78"/>
      <sz val="10"/>
      <name val="Calibri"/>
    </font>
    <font>
      <color theme="1"/>
      <scheme val="minor"/>
      <name val="Calibri"/>
    </font>
    <font>
      <b/>
      <color rgb="FFFFFFFF"/>
      <sz val="10"/>
      <name val="Calibri"/>
    </font>
  </fonts>
  <fills count="26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F0FDF4"/>
      </patternFill>
    </fill>
    <fill>
      <patternFill patternType="solid">
        <fgColor rgb="FFE0F2FE"/>
      </patternFill>
    </fill>
    <fill>
      <patternFill patternType="solid">
        <fgColor rgb="FFFEF3C7"/>
      </patternFill>
    </fill>
    <fill>
      <patternFill patternType="solid">
        <fgColor rgb="FFF3E8FF"/>
      </patternFill>
    </fill>
    <fill>
      <patternFill patternType="solid">
        <fgColor rgb="FF1E293B"/>
      </patternFill>
    </fill>
    <fill>
      <patternFill patternType="solid">
        <fgColor rgb="FFE2E8F0"/>
      </patternFill>
    </fill>
    <fill>
      <patternFill patternType="solid">
        <fgColor rgb="FFFFFFFF"/>
      </patternFill>
    </fill>
    <fill>
      <patternFill patternType="solid">
        <fgColor rgb="FFF1F5F9"/>
      </patternFill>
    </fill>
    <fill>
      <patternFill patternType="solid">
        <fgColor rgb="FFBE123C"/>
      </patternFill>
    </fill>
    <fill>
      <patternFill patternType="solid">
        <fgColor rgb="FFFFE4E6"/>
      </patternFill>
    </fill>
    <fill>
      <patternFill patternType="solid">
        <fgColor rgb="FFE11D48"/>
      </patternFill>
    </fill>
    <fill>
      <patternFill patternType="solid">
        <fgColor rgb="FFFECDD3"/>
      </patternFill>
    </fill>
    <fill>
      <patternFill patternType="solid">
        <fgColor rgb="FFD97706"/>
      </patternFill>
    </fill>
    <fill>
      <patternFill patternType="solid">
        <fgColor rgb="FF2E7D32"/>
        <bgColor rgb="FF2E7D32"/>
      </patternFill>
    </fill>
    <fill>
      <patternFill patternType="solid">
        <fgColor rgb="FF1F4E78"/>
        <bgColor rgb="FF1F4E78"/>
      </patternFill>
    </fill>
    <fill>
      <patternFill patternType="solid">
        <fgColor rgb="FFF5F5F5"/>
        <bgColor rgb="FFF5F5F5"/>
      </patternFill>
    </fill>
    <fill>
      <patternFill patternType="solid">
        <fgColor rgb="FFFFFDE7"/>
        <bgColor rgb="FFFFFDE7"/>
      </patternFill>
    </fill>
    <fill>
      <patternFill patternType="solid">
        <fgColor rgb="FF1565C0"/>
        <bgColor rgb="FF1565C0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00B0F0"/>
        <bgColor rgb="FF00B0F0"/>
      </patternFill>
    </fill>
    <fill>
      <patternFill patternType="solid">
        <fgColor rgb="FFF9A825"/>
        <bgColor rgb="FFF9A825"/>
      </patternFill>
    </fill>
    <fill>
      <patternFill patternType="solid">
        <fgColor rgb="FFC55A11"/>
        <bgColor rgb="FFC55A11"/>
      </patternFill>
    </fill>
  </fills>
  <borders count="4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1" fillId="7" borderId="1" xfId="0" applyFont="1" applyFill="1" applyBorder="1" applyAlignment="1">
      <alignment horizontal="left" vertical="center" indent="1"/>
    </xf>
    <xf numFmtId="0" fontId="12" fillId="8" borderId="1" xfId="0" applyFont="1" applyFill="1" applyBorder="1" applyAlignment="1">
      <alignment horizontal="left" vertical="center"/>
    </xf>
    <xf numFmtId="0" fontId="12" fillId="8" borderId="1" xfId="0" applyFont="1" applyFill="1" applyBorder="1" applyAlignment="1">
      <alignment horizontal="center" vertical="center"/>
    </xf>
    <xf numFmtId="0" fontId="13" fillId="9" borderId="1" xfId="0" applyFont="1" applyFill="1" applyBorder="1"/>
    <xf numFmtId="0" fontId="14" fillId="9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left" vertical="center"/>
    </xf>
    <xf numFmtId="0" fontId="16" fillId="0" borderId="1" xfId="0" applyFont="1" applyBorder="1"/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3" borderId="1" xfId="0" applyFont="1" applyFill="1" applyBorder="1"/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0" fontId="13" fillId="5" borderId="1" xfId="0" applyFont="1" applyFill="1" applyBorder="1"/>
    <xf numFmtId="0" fontId="14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left" vertical="center"/>
    </xf>
    <xf numFmtId="0" fontId="13" fillId="4" borderId="1" xfId="0" applyFont="1" applyFill="1" applyBorder="1"/>
    <xf numFmtId="164" fontId="14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/>
    </xf>
    <xf numFmtId="0" fontId="13" fillId="6" borderId="1" xfId="0" applyFont="1" applyFill="1" applyBorder="1"/>
    <xf numFmtId="0" fontId="14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left" vertical="center"/>
    </xf>
    <xf numFmtId="0" fontId="18" fillId="10" borderId="1" xfId="0" applyFont="1" applyFill="1" applyBorder="1"/>
    <xf numFmtId="0" fontId="18" fillId="10" borderId="1" xfId="0" applyFont="1" applyFill="1" applyBorder="1" applyAlignment="1">
      <alignment horizontal="center" vertical="center"/>
    </xf>
    <xf numFmtId="0" fontId="19" fillId="11" borderId="0" xfId="0" applyFont="1" applyFill="1" applyAlignment="1">
      <alignment horizontal="center" vertical="center"/>
    </xf>
    <xf numFmtId="0" fontId="20" fillId="12" borderId="0" xfId="0" applyFont="1" applyFill="1" applyAlignment="1">
      <alignment horizontal="center" vertical="center"/>
    </xf>
    <xf numFmtId="0" fontId="11" fillId="13" borderId="0" xfId="0" applyFont="1" applyFill="1" applyAlignment="1">
      <alignment horizontal="left" vertical="center" indent="1"/>
    </xf>
    <xf numFmtId="0" fontId="16" fillId="14" borderId="0" xfId="0" applyFont="1" applyFill="1" applyAlignment="1">
      <alignment horizontal="center" vertical="center"/>
    </xf>
    <xf numFmtId="0" fontId="16" fillId="14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11" fillId="15" borderId="0" xfId="0" applyFont="1" applyFill="1" applyAlignment="1">
      <alignment horizontal="left" vertical="center" indent="1"/>
    </xf>
    <xf numFmtId="0" fontId="16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left" vertical="center"/>
    </xf>
    <xf numFmtId="0" fontId="23" fillId="0" borderId="0" xfId="0" applyFont="1"/>
    <xf numFmtId="0" fontId="24" fillId="16" borderId="2" xfId="0" applyFont="1" applyFill="1" applyBorder="1" applyAlignment="1">
      <alignment horizontal="center" vertical="center" wrapText="1"/>
    </xf>
    <xf numFmtId="49" fontId="24" fillId="16" borderId="2" xfId="0" applyNumberFormat="1" applyFont="1" applyFill="1" applyBorder="1" applyAlignment="1">
      <alignment horizontal="center" vertical="center" wrapText="1"/>
    </xf>
    <xf numFmtId="165" fontId="24" fillId="16" borderId="2" xfId="0" applyNumberFormat="1" applyFont="1" applyFill="1" applyBorder="1" applyAlignment="1">
      <alignment horizontal="center" vertical="center" wrapText="1"/>
    </xf>
    <xf numFmtId="49" fontId="24" fillId="16" borderId="2" xfId="0" applyNumberFormat="1" applyFont="1" applyFill="1" applyBorder="1" applyAlignment="1">
      <alignment vertical="center" wrapText="1"/>
    </xf>
    <xf numFmtId="0" fontId="11" fillId="17" borderId="3" xfId="0" applyFont="1" applyFill="1" applyBorder="1" applyAlignment="1">
      <alignment horizontal="center" vertical="center" wrapText="1"/>
    </xf>
    <xf numFmtId="0" fontId="25" fillId="18" borderId="2" xfId="0" applyFont="1" applyFill="1" applyBorder="1" applyAlignment="1">
      <alignment horizontal="center" vertical="center" wrapText="1"/>
    </xf>
    <xf numFmtId="165" fontId="25" fillId="19" borderId="2" xfId="0" applyNumberFormat="1" applyFont="1" applyFill="1" applyBorder="1" applyAlignment="1">
      <alignment horizontal="left" vertical="center" wrapText="1"/>
    </xf>
    <xf numFmtId="0" fontId="25" fillId="19" borderId="2" xfId="0" applyFont="1" applyFill="1" applyBorder="1" applyAlignment="1">
      <alignment horizontal="left" vertical="center" wrapText="1"/>
    </xf>
    <xf numFmtId="49" fontId="25" fillId="19" borderId="2" xfId="0" applyNumberFormat="1" applyFont="1" applyFill="1" applyBorder="1" applyAlignment="1">
      <alignment horizontal="center" vertical="center" wrapText="1"/>
    </xf>
    <xf numFmtId="0" fontId="25" fillId="19" borderId="2" xfId="0" applyFont="1" applyFill="1" applyBorder="1" applyAlignment="1">
      <alignment horizontal="center" vertical="center" wrapText="1"/>
    </xf>
    <xf numFmtId="49" fontId="25" fillId="19" borderId="2" xfId="0" applyNumberFormat="1" applyFont="1" applyFill="1" applyBorder="1" applyAlignment="1">
      <alignment horizontal="left" vertical="center" wrapText="1"/>
    </xf>
    <xf numFmtId="49" fontId="25" fillId="19" borderId="2" xfId="0" applyNumberFormat="1" applyFont="1" applyFill="1" applyBorder="1" applyAlignment="1">
      <alignment vertical="center" wrapText="1"/>
    </xf>
    <xf numFmtId="165" fontId="25" fillId="19" borderId="2" xfId="0" applyNumberFormat="1" applyFont="1" applyFill="1" applyBorder="1" applyAlignment="1">
      <alignment horizontal="center" vertical="center" wrapText="1"/>
    </xf>
    <xf numFmtId="0" fontId="25" fillId="18" borderId="2" xfId="0" applyFont="1" applyFill="1" applyBorder="1" applyAlignment="1">
      <alignment horizontal="left" vertical="center" wrapText="1"/>
    </xf>
    <xf numFmtId="0" fontId="26" fillId="0" borderId="3" xfId="0" applyFont="1" applyBorder="1" applyAlignment="1">
      <alignment vertical="center"/>
    </xf>
    <xf numFmtId="49" fontId="26" fillId="0" borderId="0" xfId="0" applyNumberFormat="1" applyFont="1"/>
    <xf numFmtId="165" fontId="26" fillId="0" borderId="0" xfId="0" applyNumberFormat="1" applyFont="1"/>
    <xf numFmtId="0" fontId="24" fillId="20" borderId="2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6" fillId="21" borderId="3" xfId="0" applyFont="1" applyFill="1" applyBorder="1" applyAlignment="1">
      <alignment vertical="center"/>
    </xf>
    <xf numFmtId="165" fontId="26" fillId="21" borderId="3" xfId="0" applyNumberFormat="1" applyFont="1" applyFill="1" applyBorder="1" applyAlignment="1">
      <alignment vertical="center"/>
    </xf>
    <xf numFmtId="165" fontId="26" fillId="0" borderId="3" xfId="0" applyNumberFormat="1" applyFont="1" applyBorder="1" applyAlignment="1">
      <alignment vertical="center"/>
    </xf>
    <xf numFmtId="165" fontId="27" fillId="0" borderId="3" xfId="0" applyNumberFormat="1" applyFont="1" applyBorder="1" applyAlignment="1">
      <alignment vertical="center"/>
    </xf>
    <xf numFmtId="0" fontId="26" fillId="0" borderId="3" xfId="0" applyFont="1" applyBorder="1" applyAlignment="1">
      <alignment vertical="center" wrapText="1"/>
    </xf>
    <xf numFmtId="49" fontId="24" fillId="20" borderId="2" xfId="0" applyNumberFormat="1" applyFont="1" applyFill="1" applyBorder="1" applyAlignment="1">
      <alignment horizontal="center" vertical="center" wrapText="1"/>
    </xf>
    <xf numFmtId="49" fontId="25" fillId="18" borderId="2" xfId="0" applyNumberFormat="1" applyFont="1" applyFill="1" applyBorder="1" applyAlignment="1">
      <alignment horizontal="center" vertical="center" wrapText="1"/>
    </xf>
    <xf numFmtId="165" fontId="25" fillId="18" borderId="2" xfId="0" applyNumberFormat="1" applyFont="1" applyFill="1" applyBorder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26" fillId="22" borderId="0" xfId="0" applyFont="1" applyFill="1"/>
    <xf numFmtId="0" fontId="30" fillId="0" borderId="0" xfId="0" applyFont="1"/>
    <xf numFmtId="0" fontId="26" fillId="0" borderId="3" xfId="0" applyFont="1" applyBorder="1"/>
    <xf numFmtId="0" fontId="26" fillId="21" borderId="3" xfId="0" applyFont="1" applyFill="1" applyBorder="1"/>
    <xf numFmtId="165" fontId="26" fillId="21" borderId="3" xfId="0" applyNumberFormat="1" applyFont="1" applyFill="1" applyBorder="1"/>
    <xf numFmtId="0" fontId="11" fillId="23" borderId="3" xfId="0" applyFont="1" applyFill="1" applyBorder="1" applyAlignment="1">
      <alignment horizontal="center" vertical="center" wrapText="1"/>
    </xf>
    <xf numFmtId="0" fontId="24" fillId="24" borderId="2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21" borderId="3" xfId="0" applyFont="1" applyFill="1" applyBorder="1" applyAlignment="1">
      <alignment wrapText="1"/>
    </xf>
    <xf numFmtId="165" fontId="26" fillId="21" borderId="3" xfId="0" applyNumberFormat="1" applyFont="1" applyFill="1" applyBorder="1" applyAlignment="1">
      <alignment wrapText="1"/>
    </xf>
    <xf numFmtId="0" fontId="26" fillId="0" borderId="3" xfId="0" applyFont="1" applyBorder="1" applyAlignment="1">
      <alignment wrapText="1"/>
    </xf>
    <xf numFmtId="0" fontId="26" fillId="21" borderId="3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31" fillId="17" borderId="3" xfId="0" applyFont="1" applyFill="1" applyBorder="1" applyAlignment="1">
      <alignment horizontal="center" vertical="center" wrapText="1"/>
    </xf>
    <xf numFmtId="0" fontId="31" fillId="16" borderId="3" xfId="0" applyFont="1" applyFill="1" applyBorder="1" applyAlignment="1">
      <alignment horizontal="center" vertical="center" wrapText="1"/>
    </xf>
    <xf numFmtId="0" fontId="31" fillId="25" borderId="3" xfId="0" applyFont="1" applyFill="1" applyBorder="1" applyAlignment="1">
      <alignment horizontal="center" vertical="center" wrapText="1"/>
    </xf>
    <xf numFmtId="166" fontId="26" fillId="0" borderId="3" xfId="0" applyNumberFormat="1" applyFont="1" applyBorder="1" applyAlignment="1">
      <alignment vertical="center"/>
    </xf>
    <xf numFmtId="167" fontId="26" fillId="0" borderId="3" xfId="0" applyNumberFormat="1" applyFont="1" applyBorder="1" applyAlignment="1">
      <alignment vertical="center"/>
    </xf>
    <xf numFmtId="9" fontId="26" fillId="0" borderId="3" xfId="0" applyNumberFormat="1" applyFont="1" applyBorder="1" applyAlignment="1">
      <alignment vertical="center"/>
    </xf>
    <xf numFmtId="3" fontId="26" fillId="0" borderId="3" xfId="0" applyNumberFormat="1" applyFont="1" applyBorder="1" applyAlignment="1">
      <alignment vertical="center"/>
    </xf>
    <xf numFmtId="165" fontId="26" fillId="0" borderId="3" xfId="0" applyNumberFormat="1" applyFont="1" applyBorder="1" applyAlignment="1">
      <alignment vertical="center" readingOrder="1"/>
    </xf>
    <xf numFmtId="0" fontId="26" fillId="0" borderId="3" xfId="0" applyFont="1" applyBorder="1" applyAlignment="1">
      <alignment vertical="center" readingOrder="1"/>
    </xf>
    <xf numFmtId="9" fontId="26" fillId="0" borderId="3" xfId="0" applyNumberFormat="1" applyFont="1" applyBorder="1" applyAlignment="1">
      <alignment vertical="center" readingOrder="1"/>
    </xf>
    <xf numFmtId="3" fontId="26" fillId="0" borderId="3" xfId="0" applyNumberFormat="1" applyFont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284C7"/>
  </sheetPr>
  <dimension ref="B2:J19"/>
  <sheetViews>
    <sheetView workbookViewId="0"/>
  </sheetViews>
  <sheetFormatPr defaultRowHeight="15" outlineLevelRow="0" outlineLevelCol="0" x14ac:dyDescent="55"/>
  <cols>
    <col min="1" max="1" width="4" customWidth="1"/>
    <col min="2" max="2" width="28" customWidth="1"/>
    <col min="3" max="5" width="16" customWidth="1"/>
    <col min="6" max="6" width="6" customWidth="1"/>
    <col min="7" max="7" width="28" customWidth="1"/>
    <col min="8" max="10" width="16" customWidth="1"/>
  </cols>
  <sheetData>
    <row r="2" ht="36" customHeight="1" spans="2:10" x14ac:dyDescent="0.25">
      <c r="B2" s="1" t="s">
        <v>0</v>
      </c>
      <c r="C2" s="1"/>
      <c r="D2" s="1"/>
      <c r="E2" s="1"/>
      <c r="F2" s="1"/>
      <c r="G2" s="1"/>
      <c r="H2" s="1"/>
      <c r="I2" s="1"/>
      <c r="J2" s="1"/>
    </row>
    <row r="3" ht="20" customHeight="1" spans="2:10" x14ac:dyDescent="0.25">
      <c r="B3" s="2" t="s">
        <v>1</v>
      </c>
      <c r="C3" s="2"/>
      <c r="D3" s="2"/>
      <c r="E3" s="2"/>
      <c r="F3" s="2"/>
      <c r="G3" s="2"/>
      <c r="H3" s="2"/>
      <c r="I3" s="2"/>
      <c r="J3" s="2"/>
    </row>
    <row r="5" ht="20" customHeight="1" spans="2:10" x14ac:dyDescent="0.25">
      <c r="B5" s="3" t="s">
        <v>2</v>
      </c>
      <c r="C5" s="3"/>
      <c r="D5" s="4" t="s">
        <v>3</v>
      </c>
      <c r="E5" s="4"/>
      <c r="G5" s="5" t="s">
        <v>4</v>
      </c>
      <c r="H5" s="5"/>
      <c r="I5" s="6" t="s">
        <v>5</v>
      </c>
      <c r="J5" s="6"/>
    </row>
    <row r="6" ht="24" customHeight="1" spans="2:10" x14ac:dyDescent="0.25">
      <c r="B6" s="7">
        <f>COUNTA('01_UngVien_PhongVan'!B2:B1000)</f>
      </c>
      <c r="C6" s="7"/>
      <c r="D6" s="8">
        <f>COUNTIF('01_UngVien_PhongVan'!BA2:BA1000, "*Đạt*")</f>
      </c>
      <c r="E6" s="8"/>
      <c r="G6" s="9">
        <f>COUNTA('02_DS_Nhan_Viec'!B2:B1000)</f>
      </c>
      <c r="H6" s="9"/>
      <c r="I6" s="10">
        <f>COUNTA('06_DS_Chinh_Thuc'!B2:B1000)</f>
      </c>
      <c r="J6" s="10"/>
    </row>
    <row r="7" ht="24" customHeight="1" spans="2:10" x14ac:dyDescent="0.25">
      <c r="B7" s="7"/>
      <c r="C7" s="7"/>
      <c r="D7" s="8"/>
      <c r="E7" s="8"/>
      <c r="G7" s="9"/>
      <c r="H7" s="9"/>
      <c r="I7" s="10"/>
      <c r="J7" s="10"/>
    </row>
    <row r="10" spans="2:10" x14ac:dyDescent="0.25">
      <c r="B10" s="11" t="s">
        <v>6</v>
      </c>
      <c r="C10" s="11"/>
      <c r="D10" s="11"/>
      <c r="E10" s="11"/>
      <c r="G10" s="11" t="s">
        <v>7</v>
      </c>
      <c r="H10" s="11"/>
      <c r="I10" s="11"/>
      <c r="J10" s="11"/>
    </row>
    <row r="11" spans="2:10" x14ac:dyDescent="0.25">
      <c r="B11" s="12" t="s">
        <v>8</v>
      </c>
      <c r="C11" s="13" t="s">
        <v>9</v>
      </c>
      <c r="D11" s="13" t="s">
        <v>10</v>
      </c>
      <c r="E11" s="13" t="s">
        <v>11</v>
      </c>
      <c r="G11" s="14" t="s">
        <v>12</v>
      </c>
      <c r="H11" s="14"/>
      <c r="I11" s="15">
        <f>COUNTA('05_Theo_Doi_Gio_Cong_7_Ngay'!B2:B1000)</f>
      </c>
      <c r="J11" s="16" t="s">
        <v>13</v>
      </c>
    </row>
    <row r="12" spans="2:10" x14ac:dyDescent="0.25">
      <c r="B12" s="17" t="s">
        <v>14</v>
      </c>
      <c r="C12" s="18">
        <f>COUNTIF('01_UngVien_PhongVan'!S2:S1000, "*Chuyền A*")</f>
      </c>
      <c r="D12" s="18">
        <f>COUNTIF('02_DS_Nhan_Viec'!H2:H1000, "*Chuyền A*")</f>
      </c>
      <c r="E12" s="19">
        <f>COUNTIF('06_DS_Chinh_Thuc'!F2:F1000, "*Chuyền A*")</f>
      </c>
      <c r="G12" s="20" t="s">
        <v>15</v>
      </c>
      <c r="H12" s="20"/>
      <c r="I12" s="21">
        <f>COUNTIF('05_Theo_Doi_Gio_Cong_7_Ngay'!L2:L1000, "&gt;=7")</f>
      </c>
      <c r="J12" s="22" t="s">
        <v>13</v>
      </c>
    </row>
    <row r="13" spans="2:10" x14ac:dyDescent="0.25">
      <c r="B13" s="17" t="s">
        <v>16</v>
      </c>
      <c r="C13" s="18">
        <f>COUNTIF('01_UngVien_PhongVan'!S2:S1000, "*Chuyền B*")</f>
      </c>
      <c r="D13" s="18">
        <f>COUNTIF('02_DS_Nhan_Viec'!H2:H1000, "*Chuyền B*")</f>
      </c>
      <c r="E13" s="19">
        <f>COUNTIF('06_DS_Chinh_Thuc'!F2:F1000, "*Chuyền B*")</f>
      </c>
      <c r="G13" s="23" t="s">
        <v>17</v>
      </c>
      <c r="H13" s="23"/>
      <c r="I13" s="24">
        <f>COUNTIF('05_Theo_Doi_Gio_Cong_7_Ngay'!L2:L1000, "&lt;7")</f>
      </c>
      <c r="J13" s="25" t="s">
        <v>13</v>
      </c>
    </row>
    <row r="14" spans="2:10" x14ac:dyDescent="0.25">
      <c r="B14" s="17" t="s">
        <v>18</v>
      </c>
      <c r="C14" s="18">
        <f>COUNTIF('01_UngVien_PhongVan'!S2:S1000, "*Chuyền C*")</f>
      </c>
      <c r="D14" s="18">
        <f>COUNTIF('02_DS_Nhan_Viec'!H2:H1000, "*Chuyền C*")</f>
      </c>
      <c r="E14" s="19">
        <f>COUNTIF('06_DS_Chinh_Thuc'!F2:F1000, "*Chuyền C*")</f>
      </c>
      <c r="G14" s="26" t="s">
        <v>19</v>
      </c>
      <c r="H14" s="26"/>
      <c r="I14" s="27">
        <f>IF(H11&gt;0, H12/H11, 0)</f>
      </c>
      <c r="J14" s="28" t="s">
        <v>20</v>
      </c>
    </row>
    <row r="15" spans="2:10" x14ac:dyDescent="0.25">
      <c r="B15" s="17" t="s">
        <v>21</v>
      </c>
      <c r="C15" s="18">
        <f>COUNTIF('01_UngVien_PhongVan'!S2:S1000, "*Chuẩn bị*")</f>
      </c>
      <c r="D15" s="18">
        <f>COUNTIF('02_DS_Nhan_Viec'!H2:H1000, "*Chuẩn bị*")</f>
      </c>
      <c r="E15" s="19">
        <f>COUNTIF('06_DS_Chinh_Thuc'!F2:F1000, "*Chuẩn bị*")</f>
      </c>
      <c r="G15" s="14" t="s">
        <v>22</v>
      </c>
      <c r="H15" s="14"/>
      <c r="I15" s="15">
        <f>COUNTA('07_Kiem_Tra_Tay_Nghe'!B2:B1000)</f>
      </c>
      <c r="J15" s="16" t="s">
        <v>23</v>
      </c>
    </row>
    <row r="16" spans="2:10" x14ac:dyDescent="0.25">
      <c r="B16" s="17" t="s">
        <v>24</v>
      </c>
      <c r="C16" s="18">
        <f>COUNTIF('01_UngVien_PhongVan'!S2:S1000, "*Chặt*")</f>
      </c>
      <c r="D16" s="18">
        <f>COUNTIF('02_DS_Nhan_Viec'!H2:H1000, "*Chặt*")</f>
      </c>
      <c r="E16" s="19">
        <f>COUNTIF('06_DS_Chinh_Thuc'!F2:F1000, "*Chặt*")</f>
      </c>
      <c r="G16" s="20" t="s">
        <v>25</v>
      </c>
      <c r="H16" s="20"/>
      <c r="I16" s="21">
        <f>COUNTIF('07_Kiem_Tra_Tay_Nghe'!AH2:AH1000, "*Đạt*")</f>
      </c>
      <c r="J16" s="22" t="s">
        <v>13</v>
      </c>
    </row>
    <row r="17" spans="2:10" x14ac:dyDescent="0.25">
      <c r="B17" s="17" t="s">
        <v>26</v>
      </c>
      <c r="C17" s="18">
        <f>COUNTIF('01_UngVien_PhongVan'!S2:S1000, "*Kho*")</f>
      </c>
      <c r="D17" s="18">
        <f>COUNTIF('02_DS_Nhan_Viec'!H2:H1000, "*Kho*")</f>
      </c>
      <c r="E17" s="19">
        <f>COUNTIF('06_DS_Chinh_Thuc'!F2:F1000, "*Kho*")</f>
      </c>
      <c r="G17" s="23" t="s">
        <v>27</v>
      </c>
      <c r="H17" s="23"/>
      <c r="I17" s="24">
        <f>COUNTIF('07_Kiem_Tra_Tay_Nghe'!AH2:AH1000, "*Kèm*")</f>
      </c>
      <c r="J17" s="25" t="s">
        <v>13</v>
      </c>
    </row>
    <row r="18" spans="2:10" x14ac:dyDescent="0.25">
      <c r="B18" s="17" t="s">
        <v>28</v>
      </c>
      <c r="C18" s="18">
        <f>COUNTIF('01_UngVien_PhongVan'!S2:S1000, "*Khác*")</f>
      </c>
      <c r="D18" s="18">
        <f>COUNTIF('02_DS_Nhan_Viec'!H2:H1000, "*Khác*")</f>
      </c>
      <c r="E18" s="19">
        <f>COUNTIF('06_DS_Chinh_Thuc'!F2:F1000, "*Khác*")</f>
      </c>
      <c r="G18" s="29" t="s">
        <v>29</v>
      </c>
      <c r="H18" s="29"/>
      <c r="I18" s="30">
        <f>COUNTIF('07_Kiem_Tra_Tay_Nghe'!BN2:BN1000, "&lt;&gt;")</f>
      </c>
      <c r="J18" s="31" t="s">
        <v>13</v>
      </c>
    </row>
    <row r="19" spans="2:5" x14ac:dyDescent="0.25">
      <c r="B19" s="32" t="s">
        <v>30</v>
      </c>
      <c r="C19" s="33">
        <f>SUM(C12:C18)</f>
      </c>
      <c r="D19" s="33">
        <f>SUM(D12:D18)</f>
      </c>
      <c r="E19" s="33">
        <f>SUM(E12:E18)</f>
      </c>
    </row>
  </sheetData>
  <mergeCells count="20">
    <mergeCell ref="B2:J2"/>
    <mergeCell ref="B3:J3"/>
    <mergeCell ref="B5:C5"/>
    <mergeCell ref="D5:E5"/>
    <mergeCell ref="G5:H5"/>
    <mergeCell ref="I5:J5"/>
    <mergeCell ref="B6:C7"/>
    <mergeCell ref="D6:E7"/>
    <mergeCell ref="G6:H7"/>
    <mergeCell ref="I6:J7"/>
    <mergeCell ref="B10:E10"/>
    <mergeCell ref="G10:J10"/>
    <mergeCell ref="G11:H11"/>
    <mergeCell ref="G12:H12"/>
    <mergeCell ref="G13:H13"/>
    <mergeCell ref="G14:H14"/>
    <mergeCell ref="G15:H15"/>
    <mergeCell ref="G16:H16"/>
    <mergeCell ref="G17:H17"/>
    <mergeCell ref="G18:H1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11D48"/>
  </sheetPr>
  <dimension ref="B2:I18"/>
  <sheetViews>
    <sheetView workbookViewId="0"/>
  </sheetViews>
  <sheetFormatPr defaultRowHeight="15" outlineLevelRow="0" outlineLevelCol="0" x14ac:dyDescent="55"/>
  <cols>
    <col min="1" max="1" width="4" customWidth="1"/>
    <col min="2" max="2" width="8" customWidth="1"/>
    <col min="3" max="3" width="26" customWidth="1"/>
    <col min="4" max="4" width="16" customWidth="1"/>
    <col min="5" max="5" width="24" customWidth="1"/>
    <col min="6" max="6" width="20" customWidth="1"/>
    <col min="7" max="7" width="15" customWidth="1"/>
    <col min="8" max="8" width="22" customWidth="1"/>
    <col min="9" max="9" width="30" customWidth="1"/>
  </cols>
  <sheetData>
    <row r="2" ht="34" customHeight="1" spans="2:9" x14ac:dyDescent="0.25">
      <c r="B2" s="34" t="s">
        <v>31</v>
      </c>
      <c r="C2" s="34"/>
      <c r="D2" s="34"/>
      <c r="E2" s="34"/>
      <c r="F2" s="34"/>
      <c r="G2" s="34"/>
      <c r="H2" s="34"/>
      <c r="I2" s="34"/>
    </row>
    <row r="3" ht="22" customHeight="1" spans="2:9" x14ac:dyDescent="0.25">
      <c r="B3" s="35">
        <f>"🔴 Cập nhật tự động ngày: " &amp; TEXT(TODAY(),"dd/mm/yyyy") &amp; " (Hôm nay) • Ngày mai: " &amp; TEXT(TODAY()+1,"dd/mm/yyyy")</f>
      </c>
      <c r="C3" s="35"/>
      <c r="D3" s="35"/>
      <c r="E3" s="35"/>
      <c r="F3" s="35"/>
      <c r="G3" s="35"/>
      <c r="H3" s="35"/>
      <c r="I3" s="35"/>
    </row>
    <row r="5" ht="24" customHeight="1" spans="2:9" x14ac:dyDescent="0.25">
      <c r="B5" s="36" t="s">
        <v>32</v>
      </c>
      <c r="C5" s="36"/>
      <c r="D5" s="36"/>
      <c r="E5" s="36"/>
      <c r="F5" s="36"/>
      <c r="G5" s="36"/>
      <c r="H5" s="36"/>
      <c r="I5" s="36"/>
    </row>
    <row r="6" ht="22" customHeight="1" spans="2:9" x14ac:dyDescent="0.25">
      <c r="B6" s="37" t="s">
        <v>33</v>
      </c>
      <c r="C6" s="38" t="s">
        <v>34</v>
      </c>
      <c r="D6" s="38" t="s">
        <v>35</v>
      </c>
      <c r="E6" s="38" t="s">
        <v>36</v>
      </c>
      <c r="F6" s="38" t="s">
        <v>37</v>
      </c>
      <c r="G6" s="37" t="s">
        <v>38</v>
      </c>
      <c r="H6" s="38" t="s">
        <v>39</v>
      </c>
      <c r="I6" s="38" t="s">
        <v>40</v>
      </c>
    </row>
    <row r="7" spans="2:9" x14ac:dyDescent="0.25">
      <c r="B7" s="39">
        <v>1</v>
      </c>
      <c r="C7" t="s">
        <v>41</v>
      </c>
      <c r="D7" s="39" t="s">
        <v>42</v>
      </c>
      <c r="E7" t="s">
        <v>43</v>
      </c>
      <c r="F7" t="s">
        <v>24</v>
      </c>
      <c r="G7" s="40">
        <f>TODAY()</f>
      </c>
      <c r="H7" s="41" t="s">
        <v>44</v>
      </c>
      <c r="I7" s="42" t="s">
        <v>45</v>
      </c>
    </row>
    <row r="8" spans="2:9" x14ac:dyDescent="0.25">
      <c r="B8" s="39">
        <v>2</v>
      </c>
      <c r="C8" t="s">
        <v>41</v>
      </c>
      <c r="D8" s="39" t="s">
        <v>46</v>
      </c>
      <c r="E8" t="s">
        <v>47</v>
      </c>
      <c r="F8" t="s">
        <v>24</v>
      </c>
      <c r="G8" s="40">
        <f>TODAY()</f>
      </c>
      <c r="H8" s="41" t="s">
        <v>44</v>
      </c>
      <c r="I8" s="42" t="s">
        <v>45</v>
      </c>
    </row>
    <row r="9" spans="2:9" x14ac:dyDescent="0.25">
      <c r="B9" s="39">
        <v>3</v>
      </c>
      <c r="C9" t="s">
        <v>48</v>
      </c>
      <c r="D9" s="39" t="s">
        <v>49</v>
      </c>
      <c r="E9" t="s">
        <v>50</v>
      </c>
      <c r="F9" t="s">
        <v>21</v>
      </c>
      <c r="G9" s="40">
        <f>TODAY()</f>
      </c>
      <c r="H9" s="41" t="s">
        <v>51</v>
      </c>
      <c r="I9" s="42" t="s">
        <v>52</v>
      </c>
    </row>
    <row r="10" spans="2:9" x14ac:dyDescent="0.25">
      <c r="B10" s="39">
        <v>4</v>
      </c>
      <c r="C10" t="s">
        <v>53</v>
      </c>
      <c r="D10" s="39" t="s">
        <v>54</v>
      </c>
      <c r="E10" t="s">
        <v>55</v>
      </c>
      <c r="F10" t="s">
        <v>21</v>
      </c>
      <c r="G10" s="40">
        <f>TODAY()</f>
      </c>
      <c r="H10" s="41" t="s">
        <v>56</v>
      </c>
      <c r="I10" s="42" t="s">
        <v>57</v>
      </c>
    </row>
    <row r="11" spans="2:9" x14ac:dyDescent="0.25">
      <c r="B11" s="39">
        <v>5</v>
      </c>
      <c r="C11" t="s">
        <v>53</v>
      </c>
      <c r="D11" s="39" t="s">
        <v>58</v>
      </c>
      <c r="E11" t="s">
        <v>59</v>
      </c>
      <c r="F11" t="s">
        <v>60</v>
      </c>
      <c r="G11" s="40">
        <f>TODAY()</f>
      </c>
      <c r="H11" s="41" t="s">
        <v>56</v>
      </c>
      <c r="I11" s="42" t="s">
        <v>57</v>
      </c>
    </row>
    <row r="14" ht="24" customHeight="1" spans="2:9" x14ac:dyDescent="0.25">
      <c r="B14" s="43" t="s">
        <v>61</v>
      </c>
      <c r="C14" s="43"/>
      <c r="D14" s="43"/>
      <c r="E14" s="43"/>
      <c r="F14" s="43"/>
      <c r="G14" s="43"/>
      <c r="H14" s="43"/>
      <c r="I14" s="43"/>
    </row>
    <row r="15" spans="2:9" x14ac:dyDescent="0.25">
      <c r="B15" s="44" t="s">
        <v>33</v>
      </c>
      <c r="C15" s="45" t="s">
        <v>34</v>
      </c>
      <c r="D15" s="45" t="s">
        <v>35</v>
      </c>
      <c r="E15" s="45" t="s">
        <v>36</v>
      </c>
      <c r="F15" s="45" t="s">
        <v>37</v>
      </c>
      <c r="G15" s="44" t="s">
        <v>38</v>
      </c>
      <c r="H15" s="45" t="s">
        <v>39</v>
      </c>
      <c r="I15" s="45" t="s">
        <v>40</v>
      </c>
    </row>
    <row r="16" spans="2:9" x14ac:dyDescent="0.25">
      <c r="B16" s="39">
        <v>1</v>
      </c>
      <c r="C16" t="s">
        <v>62</v>
      </c>
      <c r="D16" s="39" t="s">
        <v>63</v>
      </c>
      <c r="E16" t="s">
        <v>64</v>
      </c>
      <c r="F16" t="s">
        <v>65</v>
      </c>
      <c r="G16" s="40">
        <f>TODAY()+1</f>
      </c>
      <c r="H16" s="46" t="s">
        <v>66</v>
      </c>
      <c r="I16" t="s">
        <v>67</v>
      </c>
    </row>
    <row r="17" spans="2:9" x14ac:dyDescent="0.25">
      <c r="B17" s="39">
        <v>2</v>
      </c>
      <c r="C17" t="s">
        <v>68</v>
      </c>
      <c r="D17" s="39" t="s">
        <v>69</v>
      </c>
      <c r="E17" t="s">
        <v>70</v>
      </c>
      <c r="F17" t="s">
        <v>71</v>
      </c>
      <c r="G17" s="40">
        <f>TODAY()+1</f>
      </c>
      <c r="H17" s="46" t="s">
        <v>72</v>
      </c>
      <c r="I17" t="s">
        <v>73</v>
      </c>
    </row>
    <row r="18" spans="2:9" x14ac:dyDescent="0.25">
      <c r="B18" s="39">
        <v>3</v>
      </c>
      <c r="C18" t="s">
        <v>74</v>
      </c>
      <c r="D18" s="39" t="s">
        <v>75</v>
      </c>
      <c r="E18" t="s">
        <v>76</v>
      </c>
      <c r="F18" t="s">
        <v>24</v>
      </c>
      <c r="G18" s="40">
        <f>TODAY()+1</f>
      </c>
      <c r="H18" s="46" t="s">
        <v>77</v>
      </c>
      <c r="I18" t="s">
        <v>78</v>
      </c>
    </row>
  </sheetData>
  <mergeCells count="4">
    <mergeCell ref="B2:I2"/>
    <mergeCell ref="B3:I3"/>
    <mergeCell ref="B5:I5"/>
    <mergeCell ref="B14:I1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00"/>
  <sheetViews>
    <sheetView workbookViewId="0" zoomScale="100" zoomScaleNormal="100">
      <pane xSplit="4" ySplit="1" topLeftCell="E2" activePane="bottomRight" state="frozen"/>
      <selection pane="bottomRight" activeCell="E2" sqref="E2"/>
    </sheetView>
  </sheetViews>
  <sheetFormatPr defaultRowHeight="15" outlineLevelRow="0" outlineLevelCol="1" x14ac:dyDescent="0" defaultColWidth="14.43"/>
  <cols>
    <col min="1" max="1" width="10.86" customWidth="1"/>
    <col min="2" max="2" width="17" customWidth="1"/>
    <col min="3" max="3" width="17.29" customWidth="1"/>
    <col min="4" max="4" width="24.29" customWidth="1"/>
    <col min="5" max="5" width="17.43" customWidth="1"/>
    <col min="6" max="6" width="13.29" customWidth="1"/>
    <col min="7" max="7" width="14.71" customWidth="1"/>
    <col min="8" max="8" width="12.57" customWidth="1"/>
    <col min="9" max="9" width="15.57" customWidth="1"/>
    <col min="10" max="10" width="15" customWidth="1"/>
    <col min="11" max="11" width="14.57" customWidth="1"/>
    <col min="12" max="12" width="19" customWidth="1"/>
    <col min="13" max="13" width="29.86" customWidth="1"/>
    <col min="14" max="14" width="29.29" customWidth="1"/>
    <col min="15" max="15" width="13.71" customWidth="1"/>
    <col min="16" max="16" width="24" customWidth="1"/>
    <col min="17" max="17" width="12.71" customWidth="1"/>
    <col min="18" max="18" width="21.14" customWidth="1"/>
    <col min="19" max="19" width="20.29" customWidth="1"/>
    <col min="20" max="20" width="17" customWidth="1"/>
    <col min="21" max="21" width="18" customWidth="1"/>
    <col min="22" max="22" width="22" customWidth="1"/>
    <col min="23" max="23" width="17.14" customWidth="1"/>
    <col min="24" max="24" width="28" customWidth="1"/>
    <col min="25" max="25" width="14.43" customWidth="1"/>
    <col min="26" max="26" width="25" customWidth="1"/>
    <col min="27" max="27" width="20.86" customWidth="1"/>
    <col min="28" max="28" width="17.71" customWidth="1"/>
    <col min="29" max="29" width="19.14" customWidth="1"/>
    <col min="30" max="30" width="12.29" customWidth="1"/>
    <col min="31" max="31" width="16.71" customWidth="1"/>
    <col min="32" max="32" width="28.14" customWidth="1"/>
    <col min="33" max="33" width="13.43" customWidth="1"/>
    <col min="34" max="34" width="14.14" customWidth="1"/>
    <col min="35" max="35" width="16" customWidth="1"/>
    <col min="36" max="36" width="14.57" customWidth="1"/>
    <col min="37" max="37" width="22" customWidth="1"/>
    <col min="38" max="38" width="15.71" customWidth="1"/>
    <col min="39" max="39" width="16.57" customWidth="1"/>
    <col min="40" max="40" width="37.29" customWidth="1"/>
    <col min="41" max="41" width="18.29" customWidth="1"/>
    <col min="42" max="42" width="17.71" customWidth="1"/>
    <col min="43" max="43" width="13.86" customWidth="1"/>
    <col min="44" max="44" width="31.57" customWidth="1"/>
    <col min="45" max="45" width="16.43" customWidth="1"/>
    <col min="46" max="46" width="18.86" customWidth="1"/>
    <col min="47" max="47" width="16.71" customWidth="1"/>
    <col min="48" max="48" width="10.86" customWidth="1"/>
    <col min="49" max="49" width="18.57" customWidth="1"/>
    <col min="50" max="50" width="16" customWidth="1"/>
    <col min="51" max="51" width="16.86" customWidth="1"/>
    <col min="52" max="52" width="14.71" customWidth="1"/>
    <col min="53" max="53" width="20.71" customWidth="1"/>
    <col min="54" max="54" width="19.14" customWidth="1"/>
    <col min="55" max="55" width="23" customWidth="1"/>
  </cols>
  <sheetData>
    <row r="1" ht="42" customHeight="1" spans="1:55" x14ac:dyDescent="0.25">
      <c r="A1" s="47" t="s">
        <v>79</v>
      </c>
      <c r="B1" s="47" t="s">
        <v>80</v>
      </c>
      <c r="C1" s="47" t="s">
        <v>81</v>
      </c>
      <c r="D1" s="47" t="s">
        <v>82</v>
      </c>
      <c r="E1" s="48" t="s">
        <v>83</v>
      </c>
      <c r="F1" s="47" t="s">
        <v>84</v>
      </c>
      <c r="G1" s="47" t="s">
        <v>85</v>
      </c>
      <c r="H1" s="47" t="s">
        <v>86</v>
      </c>
      <c r="I1" s="47" t="s">
        <v>87</v>
      </c>
      <c r="J1" s="48" t="s">
        <v>88</v>
      </c>
      <c r="K1" s="49" t="s">
        <v>89</v>
      </c>
      <c r="L1" s="47" t="s">
        <v>90</v>
      </c>
      <c r="M1" s="47" t="s">
        <v>91</v>
      </c>
      <c r="N1" s="47" t="s">
        <v>92</v>
      </c>
      <c r="O1" s="48" t="s">
        <v>93</v>
      </c>
      <c r="P1" s="47" t="s">
        <v>94</v>
      </c>
      <c r="Q1" s="50" t="s">
        <v>95</v>
      </c>
      <c r="R1" s="47" t="s">
        <v>96</v>
      </c>
      <c r="S1" s="47" t="s">
        <v>97</v>
      </c>
      <c r="T1" s="47" t="s">
        <v>98</v>
      </c>
      <c r="U1" s="47" t="s">
        <v>99</v>
      </c>
      <c r="V1" s="47" t="s">
        <v>100</v>
      </c>
      <c r="W1" s="47" t="s">
        <v>101</v>
      </c>
      <c r="X1" s="47" t="s">
        <v>102</v>
      </c>
      <c r="Y1" s="47" t="s">
        <v>103</v>
      </c>
      <c r="Z1" s="47" t="s">
        <v>104</v>
      </c>
      <c r="AA1" s="47" t="s">
        <v>105</v>
      </c>
      <c r="AB1" s="47" t="s">
        <v>106</v>
      </c>
      <c r="AC1" s="47" t="s">
        <v>107</v>
      </c>
      <c r="AD1" s="47" t="s">
        <v>108</v>
      </c>
      <c r="AE1" s="47" t="s">
        <v>109</v>
      </c>
      <c r="AF1" s="47" t="s">
        <v>110</v>
      </c>
      <c r="AG1" s="47" t="s">
        <v>111</v>
      </c>
      <c r="AH1" s="47" t="s">
        <v>112</v>
      </c>
      <c r="AI1" s="47" t="s">
        <v>113</v>
      </c>
      <c r="AJ1" s="47" t="s">
        <v>114</v>
      </c>
      <c r="AK1" s="47" t="s">
        <v>115</v>
      </c>
      <c r="AL1" s="47" t="s">
        <v>116</v>
      </c>
      <c r="AM1" s="47" t="s">
        <v>117</v>
      </c>
      <c r="AN1" s="47" t="s">
        <v>118</v>
      </c>
      <c r="AO1" s="47" t="s">
        <v>119</v>
      </c>
      <c r="AP1" s="47" t="s">
        <v>120</v>
      </c>
      <c r="AQ1" s="47" t="s">
        <v>121</v>
      </c>
      <c r="AR1" s="47" t="s">
        <v>122</v>
      </c>
      <c r="AS1" s="47" t="s">
        <v>123</v>
      </c>
      <c r="AT1" s="47" t="s">
        <v>124</v>
      </c>
      <c r="AU1" s="47" t="s">
        <v>125</v>
      </c>
      <c r="AV1" s="47" t="s">
        <v>126</v>
      </c>
      <c r="AW1" s="47" t="s">
        <v>127</v>
      </c>
      <c r="AX1" s="47" t="s">
        <v>128</v>
      </c>
      <c r="AY1" s="47" t="s">
        <v>129</v>
      </c>
      <c r="AZ1" s="47" t="s">
        <v>130</v>
      </c>
      <c r="BA1" s="47" t="s">
        <v>131</v>
      </c>
      <c r="BB1" s="47" t="s">
        <v>132</v>
      </c>
      <c r="BC1" s="51" t="s">
        <v>133</v>
      </c>
    </row>
    <row r="2" ht="27" customHeight="1" spans="1:55" x14ac:dyDescent="0.25">
      <c r="A2" s="52">
        <f t="shared" ref="A2:A151" si="0">IF(D2="","",ROW()-1)</f>
        <v>1</v>
      </c>
      <c r="B2" s="52" t="str">
        <f t="shared" ref="B2:B151" si="1">IF(OR(D2="",AY2=""),"","UV"&amp;TEXT(AY2,"mmyy")&amp;"-"&amp;TEXT(SUMPRODUCT(($D$2:D2&lt;&gt;"")*(TEXT($AY$2:AY2,"mmyy")=TEXT(AY2,"mmyy"))),"000"))</f>
        <v>UV0726-001</v>
      </c>
      <c r="C2" s="53">
        <v>46219</v>
      </c>
      <c r="D2" s="54" t="s">
        <v>134</v>
      </c>
      <c r="E2" s="55" t="s">
        <v>135</v>
      </c>
      <c r="F2" s="56" t="s">
        <v>136</v>
      </c>
      <c r="G2" s="56">
        <v>2006</v>
      </c>
      <c r="H2" s="56"/>
      <c r="I2" s="54"/>
      <c r="J2" s="57"/>
      <c r="K2" s="53"/>
      <c r="L2" s="54"/>
      <c r="M2" s="54" t="s">
        <v>137</v>
      </c>
      <c r="N2" s="54"/>
      <c r="O2" s="57"/>
      <c r="P2" s="54"/>
      <c r="Q2" s="58"/>
      <c r="R2" s="54"/>
      <c r="S2" s="54"/>
      <c r="T2" s="59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6"/>
      <c r="AH2" s="56"/>
      <c r="AI2" s="54"/>
      <c r="AJ2" s="54"/>
      <c r="AK2" s="54"/>
      <c r="AL2" s="56"/>
      <c r="AM2" s="56"/>
      <c r="AN2" s="54"/>
      <c r="AO2" s="56"/>
      <c r="AP2" s="54"/>
      <c r="AQ2" s="56"/>
      <c r="AR2" s="54"/>
      <c r="AS2" s="54"/>
      <c r="AT2" s="54"/>
      <c r="AU2" s="59">
        <f t="shared" ref="AU2:AU35" si="2">AZ2+14</f>
        <v>14</v>
      </c>
      <c r="AV2" s="54" t="s">
        <v>138</v>
      </c>
      <c r="AW2" s="54" t="s">
        <v>139</v>
      </c>
      <c r="AX2" s="59"/>
      <c r="AY2" s="59">
        <v>46204</v>
      </c>
      <c r="AZ2" s="59"/>
      <c r="BA2" s="60">
        <f>IFERROR(VLOOKUP(B2,'02_DS_Nhan_Viec'!B:L,5,0),"")</f>
      </c>
      <c r="BB2" s="54"/>
      <c r="BC2" s="61" t="str">
        <f t="array" ref="BC2">IF($B2="","",IF(IFERROR(INDEX('02_DS_Nhan_Viec'!$J:$J,MATCH($B2,'02_DS_Nhan_Viec'!$B:$B,0)),"")="","Đang theo dõi",IF(OR(IFERROR(INDEX('05_Theo_Doi_Gio_Cong_7_Ngay'!$R:$R,MATCH(IFERROR(INDEX('02_DS_Nhan_Viec'!$J:$J,MATCH($B2,'02_DS_Nhan_Viec'!$B:$B,0)),""),'05_Theo_Doi_Gio_Cong_7_Ngay'!$B:$B,0)),"")="",IFERROR(INDEX('05_Theo_Doi_Gio_Cong_7_Ngay'!$R:$R,MATCH(IFERROR(INDEX('02_DS_Nhan_Viec'!$J:$J,MATCH($B2,'02_DS_Nhan_Viec'!$B:$B,0)),""),'05_Theo_Doi_Gio_Cong_7_Ngay'!$B:$B,0)),0)=0),"Đang theo dõi",IFERROR(INDEX('06_DS_Chinh_Thuc'!$K:$K,MATCH(IFERROR(INDEX('05_Theo_Doi_Gio_Cong_7_Ngay'!$R:$R,MATCH(IFERROR(INDEX('02_DS_Nhan_Viec'!$J:$J,MATCH($B2,'02_DS_Nhan_Viec'!$B:$B,0)),""),'05_Theo_Doi_Gio_Cong_7_Ngay'!$B:$B,0)),0),'06_DS_Chinh_Thuc'!$B:$B,0)),"Đang theo dõi"))))</f>
        <v>Đang theo dõi</v>
      </c>
    </row>
    <row r="3" ht="27" customHeight="1" spans="1:55" x14ac:dyDescent="0.25">
      <c r="A3" s="52">
        <f t="shared" si="0"/>
        <v>2</v>
      </c>
      <c r="B3" s="52" t="str">
        <f t="shared" si="1"/>
        <v>UV0726-002</v>
      </c>
      <c r="C3" s="53">
        <v>46227</v>
      </c>
      <c r="D3" s="54" t="s">
        <v>140</v>
      </c>
      <c r="E3" s="55" t="s">
        <v>141</v>
      </c>
      <c r="F3" s="56" t="s">
        <v>136</v>
      </c>
      <c r="G3" s="56">
        <v>1997</v>
      </c>
      <c r="H3" s="56"/>
      <c r="I3" s="54"/>
      <c r="J3" s="57"/>
      <c r="K3" s="53"/>
      <c r="L3" s="54"/>
      <c r="M3" s="54" t="s">
        <v>142</v>
      </c>
      <c r="N3" s="54"/>
      <c r="O3" s="55"/>
      <c r="P3" s="54"/>
      <c r="Q3" s="58"/>
      <c r="R3" s="54" t="s">
        <v>14</v>
      </c>
      <c r="S3" s="54"/>
      <c r="T3" s="59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6"/>
      <c r="AH3" s="56"/>
      <c r="AI3" s="54"/>
      <c r="AJ3" s="54"/>
      <c r="AK3" s="54"/>
      <c r="AL3" s="56"/>
      <c r="AM3" s="56"/>
      <c r="AN3" s="54"/>
      <c r="AO3" s="56"/>
      <c r="AP3" s="54"/>
      <c r="AQ3" s="56"/>
      <c r="AR3" s="54"/>
      <c r="AS3" s="54"/>
      <c r="AT3" s="54"/>
      <c r="AU3" s="59">
        <f t="shared" si="2"/>
        <v>46241</v>
      </c>
      <c r="AV3" s="54" t="s">
        <v>138</v>
      </c>
      <c r="AW3" s="54" t="s">
        <v>139</v>
      </c>
      <c r="AX3" s="59"/>
      <c r="AY3" s="59">
        <v>46206</v>
      </c>
      <c r="AZ3" s="59">
        <v>46227</v>
      </c>
      <c r="BA3" s="60" t="str">
        <f>IFERROR(VLOOKUP(B3,'02_DS_Nhan_Viec'!B:L,5,0),"")</f>
        <v>✅ Đã nhận việc - Đúng hẹn</v>
      </c>
      <c r="BB3" s="54"/>
      <c r="BC3" s="61" t="str">
        <f t="array" ref="BC3">IF($B3="","",IF(IFERROR(INDEX('02_DS_Nhan_Viec'!$J:$J,MATCH($B3,'02_DS_Nhan_Viec'!$B:$B,0)),"")="","Đang theo dõi",IF(OR(IFERROR(INDEX('05_Theo_Doi_Gio_Cong_7_Ngay'!$R:$R,MATCH(IFERROR(INDEX('02_DS_Nhan_Viec'!$J:$J,MATCH($B3,'02_DS_Nhan_Viec'!$B:$B,0)),""),'05_Theo_Doi_Gio_Cong_7_Ngay'!$B:$B,0)),"")="",IFERROR(INDEX('05_Theo_Doi_Gio_Cong_7_Ngay'!$R:$R,MATCH(IFERROR(INDEX('02_DS_Nhan_Viec'!$J:$J,MATCH($B3,'02_DS_Nhan_Viec'!$B:$B,0)),""),'05_Theo_Doi_Gio_Cong_7_Ngay'!$B:$B,0)),0)=0),"Đang theo dõi",IFERROR(INDEX('06_DS_Chinh_Thuc'!$K:$K,MATCH(IFERROR(INDEX('05_Theo_Doi_Gio_Cong_7_Ngay'!$R:$R,MATCH(IFERROR(INDEX('02_DS_Nhan_Viec'!$J:$J,MATCH($B3,'02_DS_Nhan_Viec'!$B:$B,0)),""),'05_Theo_Doi_Gio_Cong_7_Ngay'!$B:$B,0)),0),'06_DS_Chinh_Thuc'!$B:$B,0)),"Đang theo dõi"))))</f>
        <v>Đang làm</v>
      </c>
    </row>
    <row r="4" ht="27" customHeight="1" spans="1:55" x14ac:dyDescent="0.25">
      <c r="A4" s="52">
        <f t="shared" si="0"/>
        <v>3</v>
      </c>
      <c r="B4" s="52" t="str">
        <f t="shared" si="1"/>
        <v>UV0726-003</v>
      </c>
      <c r="C4" s="53">
        <v>46226</v>
      </c>
      <c r="D4" s="54" t="s">
        <v>143</v>
      </c>
      <c r="E4" s="55"/>
      <c r="F4" s="56" t="s">
        <v>144</v>
      </c>
      <c r="G4" s="56">
        <v>2012</v>
      </c>
      <c r="H4" s="56"/>
      <c r="I4" s="54"/>
      <c r="J4" s="57"/>
      <c r="K4" s="53"/>
      <c r="L4" s="54"/>
      <c r="M4" s="54" t="s">
        <v>145</v>
      </c>
      <c r="N4" s="54"/>
      <c r="O4" s="55"/>
      <c r="P4" s="54"/>
      <c r="Q4" s="58"/>
      <c r="R4" s="54"/>
      <c r="S4" s="54"/>
      <c r="T4" s="59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6"/>
      <c r="AH4" s="56"/>
      <c r="AI4" s="54"/>
      <c r="AJ4" s="54"/>
      <c r="AK4" s="54"/>
      <c r="AL4" s="56"/>
      <c r="AM4" s="56"/>
      <c r="AN4" s="54"/>
      <c r="AO4" s="56"/>
      <c r="AP4" s="54"/>
      <c r="AQ4" s="56"/>
      <c r="AR4" s="54"/>
      <c r="AS4" s="54"/>
      <c r="AT4" s="54"/>
      <c r="AU4" s="59">
        <f t="shared" si="2"/>
        <v>46240</v>
      </c>
      <c r="AV4" s="54" t="s">
        <v>138</v>
      </c>
      <c r="AW4" s="54" t="s">
        <v>139</v>
      </c>
      <c r="AX4" s="59"/>
      <c r="AY4" s="59">
        <v>46207</v>
      </c>
      <c r="AZ4" s="59">
        <v>46226</v>
      </c>
      <c r="BA4" s="60" t="str">
        <f>IFERROR(VLOOKUP(B4,'02_DS_Nhan_Viec'!B:L,5,0),"")</f>
        <v>✅ Đã nhận việc - Đúng hẹn</v>
      </c>
      <c r="BB4" s="54"/>
      <c r="BC4" s="61" t="str">
        <f t="array" ref="BC4">IF($B4="","",IF(IFERROR(INDEX('02_DS_Nhan_Viec'!$J:$J,MATCH($B4,'02_DS_Nhan_Viec'!$B:$B,0)),"")="","Đang theo dõi",IF(OR(IFERROR(INDEX('05_Theo_Doi_Gio_Cong_7_Ngay'!$R:$R,MATCH(IFERROR(INDEX('02_DS_Nhan_Viec'!$J:$J,MATCH($B4,'02_DS_Nhan_Viec'!$B:$B,0)),""),'05_Theo_Doi_Gio_Cong_7_Ngay'!$B:$B,0)),"")="",IFERROR(INDEX('05_Theo_Doi_Gio_Cong_7_Ngay'!$R:$R,MATCH(IFERROR(INDEX('02_DS_Nhan_Viec'!$J:$J,MATCH($B4,'02_DS_Nhan_Viec'!$B:$B,0)),""),'05_Theo_Doi_Gio_Cong_7_Ngay'!$B:$B,0)),0)=0),"Đang theo dõi",IFERROR(INDEX('06_DS_Chinh_Thuc'!$K:$K,MATCH(IFERROR(INDEX('05_Theo_Doi_Gio_Cong_7_Ngay'!$R:$R,MATCH(IFERROR(INDEX('02_DS_Nhan_Viec'!$J:$J,MATCH($B4,'02_DS_Nhan_Viec'!$B:$B,0)),""),'05_Theo_Doi_Gio_Cong_7_Ngay'!$B:$B,0)),0),'06_DS_Chinh_Thuc'!$B:$B,0)),"Đang theo dõi"))))</f>
        <v>Đang làm</v>
      </c>
    </row>
    <row r="5" ht="27" customHeight="1" spans="1:55" x14ac:dyDescent="0.25">
      <c r="A5" s="52">
        <f t="shared" si="0"/>
        <v>4</v>
      </c>
      <c r="B5" s="52" t="str">
        <f t="shared" si="1"/>
        <v>UV0726-004</v>
      </c>
      <c r="C5" s="53">
        <v>46208</v>
      </c>
      <c r="D5" s="54" t="s">
        <v>146</v>
      </c>
      <c r="E5" s="55" t="s">
        <v>147</v>
      </c>
      <c r="F5" s="56" t="s">
        <v>136</v>
      </c>
      <c r="G5" s="56">
        <v>1983</v>
      </c>
      <c r="H5" s="56"/>
      <c r="I5" s="54"/>
      <c r="J5" s="57"/>
      <c r="K5" s="53"/>
      <c r="L5" s="54"/>
      <c r="M5" s="54" t="s">
        <v>148</v>
      </c>
      <c r="N5" s="54"/>
      <c r="O5" s="55"/>
      <c r="P5" s="54"/>
      <c r="Q5" s="58"/>
      <c r="R5" s="54"/>
      <c r="S5" s="54"/>
      <c r="T5" s="59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6"/>
      <c r="AH5" s="56"/>
      <c r="AI5" s="54"/>
      <c r="AJ5" s="54"/>
      <c r="AK5" s="54"/>
      <c r="AL5" s="56"/>
      <c r="AM5" s="56"/>
      <c r="AN5" s="54"/>
      <c r="AO5" s="56"/>
      <c r="AP5" s="54"/>
      <c r="AQ5" s="56"/>
      <c r="AR5" s="54"/>
      <c r="AS5" s="54"/>
      <c r="AT5" s="54"/>
      <c r="AU5" s="59">
        <f t="shared" si="2"/>
        <v>14</v>
      </c>
      <c r="AV5" s="54" t="s">
        <v>138</v>
      </c>
      <c r="AW5" s="54" t="s">
        <v>139</v>
      </c>
      <c r="AX5" s="59"/>
      <c r="AY5" s="59">
        <v>46208</v>
      </c>
      <c r="AZ5" s="59"/>
      <c r="BA5" s="60">
        <f>IFERROR(VLOOKUP(B5,'02_DS_Nhan_Viec'!B:L,5,0),"")</f>
      </c>
      <c r="BB5" s="54"/>
      <c r="BC5" s="61" t="str">
        <f t="array" ref="BC5">IF($B5="","",IF(IFERROR(INDEX('02_DS_Nhan_Viec'!$J:$J,MATCH($B5,'02_DS_Nhan_Viec'!$B:$B,0)),"")="","Đang theo dõi",IF(OR(IFERROR(INDEX('05_Theo_Doi_Gio_Cong_7_Ngay'!$R:$R,MATCH(IFERROR(INDEX('02_DS_Nhan_Viec'!$J:$J,MATCH($B5,'02_DS_Nhan_Viec'!$B:$B,0)),""),'05_Theo_Doi_Gio_Cong_7_Ngay'!$B:$B,0)),"")="",IFERROR(INDEX('05_Theo_Doi_Gio_Cong_7_Ngay'!$R:$R,MATCH(IFERROR(INDEX('02_DS_Nhan_Viec'!$J:$J,MATCH($B5,'02_DS_Nhan_Viec'!$B:$B,0)),""),'05_Theo_Doi_Gio_Cong_7_Ngay'!$B:$B,0)),0)=0),"Đang theo dõi",IFERROR(INDEX('06_DS_Chinh_Thuc'!$K:$K,MATCH(IFERROR(INDEX('05_Theo_Doi_Gio_Cong_7_Ngay'!$R:$R,MATCH(IFERROR(INDEX('02_DS_Nhan_Viec'!$J:$J,MATCH($B5,'02_DS_Nhan_Viec'!$B:$B,0)),""),'05_Theo_Doi_Gio_Cong_7_Ngay'!$B:$B,0)),0),'06_DS_Chinh_Thuc'!$B:$B,0)),"Đang theo dõi"))))</f>
        <v>Đang theo dõi</v>
      </c>
    </row>
    <row r="6" ht="27" customHeight="1" spans="1:55" x14ac:dyDescent="0.25">
      <c r="A6" s="52">
        <f t="shared" si="0"/>
        <v>5</v>
      </c>
      <c r="B6" s="52" t="str">
        <f t="shared" si="1"/>
        <v>UV0726-005</v>
      </c>
      <c r="C6" s="53">
        <v>46218</v>
      </c>
      <c r="D6" s="54" t="s">
        <v>149</v>
      </c>
      <c r="E6" s="55" t="s">
        <v>150</v>
      </c>
      <c r="F6" s="56" t="s">
        <v>144</v>
      </c>
      <c r="G6" s="56">
        <v>2009</v>
      </c>
      <c r="H6" s="56"/>
      <c r="I6" s="54"/>
      <c r="J6" s="57"/>
      <c r="K6" s="53"/>
      <c r="L6" s="54"/>
      <c r="M6" s="54" t="s">
        <v>151</v>
      </c>
      <c r="N6" s="54"/>
      <c r="O6" s="55"/>
      <c r="P6" s="54"/>
      <c r="Q6" s="58"/>
      <c r="R6" s="54"/>
      <c r="S6" s="54"/>
      <c r="T6" s="59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6"/>
      <c r="AH6" s="56"/>
      <c r="AI6" s="54"/>
      <c r="AJ6" s="54"/>
      <c r="AK6" s="54"/>
      <c r="AL6" s="56"/>
      <c r="AM6" s="56"/>
      <c r="AN6" s="54"/>
      <c r="AO6" s="56"/>
      <c r="AP6" s="54"/>
      <c r="AQ6" s="56"/>
      <c r="AR6" s="54"/>
      <c r="AS6" s="54"/>
      <c r="AT6" s="54"/>
      <c r="AU6" s="59">
        <f t="shared" si="2"/>
        <v>46232</v>
      </c>
      <c r="AV6" s="54" t="s">
        <v>138</v>
      </c>
      <c r="AW6" s="54" t="s">
        <v>139</v>
      </c>
      <c r="AX6" s="59"/>
      <c r="AY6" s="59">
        <v>46209</v>
      </c>
      <c r="AZ6" s="59">
        <v>46218</v>
      </c>
      <c r="BA6" s="60" t="str">
        <f>IFERROR(VLOOKUP(B6,'02_DS_Nhan_Viec'!B:L,5,0),"")</f>
        <v>✅ Đã nhận việc - Đúng hẹn</v>
      </c>
      <c r="BB6" s="54"/>
      <c r="BC6" s="61" t="str">
        <f t="array" ref="BC6">IF($B6="","",IF(IFERROR(INDEX('02_DS_Nhan_Viec'!$J:$J,MATCH($B6,'02_DS_Nhan_Viec'!$B:$B,0)),"")="","Đang theo dõi",IF(OR(IFERROR(INDEX('05_Theo_Doi_Gio_Cong_7_Ngay'!$R:$R,MATCH(IFERROR(INDEX('02_DS_Nhan_Viec'!$J:$J,MATCH($B6,'02_DS_Nhan_Viec'!$B:$B,0)),""),'05_Theo_Doi_Gio_Cong_7_Ngay'!$B:$B,0)),"")="",IFERROR(INDEX('05_Theo_Doi_Gio_Cong_7_Ngay'!$R:$R,MATCH(IFERROR(INDEX('02_DS_Nhan_Viec'!$J:$J,MATCH($B6,'02_DS_Nhan_Viec'!$B:$B,0)),""),'05_Theo_Doi_Gio_Cong_7_Ngay'!$B:$B,0)),0)=0),"Đang theo dõi",IFERROR(INDEX('06_DS_Chinh_Thuc'!$K:$K,MATCH(IFERROR(INDEX('05_Theo_Doi_Gio_Cong_7_Ngay'!$R:$R,MATCH(IFERROR(INDEX('02_DS_Nhan_Viec'!$J:$J,MATCH($B6,'02_DS_Nhan_Viec'!$B:$B,0)),""),'05_Theo_Doi_Gio_Cong_7_Ngay'!$B:$B,0)),0),'06_DS_Chinh_Thuc'!$B:$B,0)),"Đang theo dõi"))))</f>
        <v>Đang làm</v>
      </c>
    </row>
    <row r="7" ht="27" customHeight="1" spans="1:55" x14ac:dyDescent="0.25">
      <c r="A7" s="52">
        <f t="shared" si="0"/>
        <v>6</v>
      </c>
      <c r="B7" s="52" t="str">
        <f t="shared" si="1"/>
        <v>UV0726-006</v>
      </c>
      <c r="C7" s="53">
        <v>46218</v>
      </c>
      <c r="D7" s="54" t="s">
        <v>152</v>
      </c>
      <c r="E7" s="55" t="s">
        <v>153</v>
      </c>
      <c r="F7" s="56" t="s">
        <v>144</v>
      </c>
      <c r="G7" s="56">
        <v>2009</v>
      </c>
      <c r="H7" s="56"/>
      <c r="I7" s="54"/>
      <c r="J7" s="57"/>
      <c r="K7" s="53"/>
      <c r="L7" s="54"/>
      <c r="M7" s="54" t="s">
        <v>154</v>
      </c>
      <c r="N7" s="54"/>
      <c r="O7" s="55"/>
      <c r="P7" s="54"/>
      <c r="Q7" s="58"/>
      <c r="R7" s="54"/>
      <c r="S7" s="54"/>
      <c r="T7" s="59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6"/>
      <c r="AH7" s="56"/>
      <c r="AI7" s="54"/>
      <c r="AJ7" s="54"/>
      <c r="AK7" s="54"/>
      <c r="AL7" s="56"/>
      <c r="AM7" s="56"/>
      <c r="AN7" s="54"/>
      <c r="AO7" s="56"/>
      <c r="AP7" s="54"/>
      <c r="AQ7" s="56"/>
      <c r="AR7" s="54"/>
      <c r="AS7" s="54"/>
      <c r="AT7" s="54"/>
      <c r="AU7" s="59">
        <f t="shared" si="2"/>
        <v>46232</v>
      </c>
      <c r="AV7" s="54" t="s">
        <v>138</v>
      </c>
      <c r="AW7" s="54" t="s">
        <v>139</v>
      </c>
      <c r="AX7" s="59"/>
      <c r="AY7" s="59">
        <v>46210</v>
      </c>
      <c r="AZ7" s="59">
        <v>46218</v>
      </c>
      <c r="BA7" s="60" t="str">
        <f>IFERROR(VLOOKUP(B7,'02_DS_Nhan_Viec'!B:L,5,0),"")</f>
        <v>✅ Đã nhận việc - Đúng hẹn</v>
      </c>
      <c r="BB7" s="54"/>
      <c r="BC7" s="61" t="str">
        <f t="array" ref="BC7">IF($B7="","",IF(IFERROR(INDEX('02_DS_Nhan_Viec'!$J:$J,MATCH($B7,'02_DS_Nhan_Viec'!$B:$B,0)),"")="","Đang theo dõi",IF(OR(IFERROR(INDEX('05_Theo_Doi_Gio_Cong_7_Ngay'!$R:$R,MATCH(IFERROR(INDEX('02_DS_Nhan_Viec'!$J:$J,MATCH($B7,'02_DS_Nhan_Viec'!$B:$B,0)),""),'05_Theo_Doi_Gio_Cong_7_Ngay'!$B:$B,0)),"")="",IFERROR(INDEX('05_Theo_Doi_Gio_Cong_7_Ngay'!$R:$R,MATCH(IFERROR(INDEX('02_DS_Nhan_Viec'!$J:$J,MATCH($B7,'02_DS_Nhan_Viec'!$B:$B,0)),""),'05_Theo_Doi_Gio_Cong_7_Ngay'!$B:$B,0)),0)=0),"Đang theo dõi",IFERROR(INDEX('06_DS_Chinh_Thuc'!$K:$K,MATCH(IFERROR(INDEX('05_Theo_Doi_Gio_Cong_7_Ngay'!$R:$R,MATCH(IFERROR(INDEX('02_DS_Nhan_Viec'!$J:$J,MATCH($B7,'02_DS_Nhan_Viec'!$B:$B,0)),""),'05_Theo_Doi_Gio_Cong_7_Ngay'!$B:$B,0)),0),'06_DS_Chinh_Thuc'!$B:$B,0)),"Đang theo dõi"))))</f>
        <v>Đang làm</v>
      </c>
    </row>
    <row r="8" ht="27" customHeight="1" spans="1:55" x14ac:dyDescent="0.25">
      <c r="A8" s="52">
        <f t="shared" si="0"/>
        <v>7</v>
      </c>
      <c r="B8" s="52" t="str">
        <f t="shared" si="1"/>
        <v>UV0726-007</v>
      </c>
      <c r="C8" s="53">
        <v>46212</v>
      </c>
      <c r="D8" s="54" t="s">
        <v>155</v>
      </c>
      <c r="E8" s="55" t="s">
        <v>156</v>
      </c>
      <c r="F8" s="56" t="s">
        <v>136</v>
      </c>
      <c r="G8" s="56">
        <v>1989</v>
      </c>
      <c r="H8" s="56"/>
      <c r="I8" s="54"/>
      <c r="J8" s="57"/>
      <c r="K8" s="53"/>
      <c r="L8" s="54"/>
      <c r="M8" s="54" t="s">
        <v>157</v>
      </c>
      <c r="N8" s="54"/>
      <c r="O8" s="55"/>
      <c r="P8" s="54"/>
      <c r="Q8" s="58"/>
      <c r="R8" s="54"/>
      <c r="S8" s="54"/>
      <c r="T8" s="59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6"/>
      <c r="AH8" s="56"/>
      <c r="AI8" s="54"/>
      <c r="AJ8" s="54"/>
      <c r="AK8" s="54"/>
      <c r="AL8" s="56"/>
      <c r="AM8" s="56"/>
      <c r="AN8" s="54"/>
      <c r="AO8" s="56"/>
      <c r="AP8" s="54"/>
      <c r="AQ8" s="56"/>
      <c r="AR8" s="54"/>
      <c r="AS8" s="54"/>
      <c r="AT8" s="54"/>
      <c r="AU8" s="59">
        <f t="shared" si="2"/>
        <v>14</v>
      </c>
      <c r="AV8" s="54" t="s">
        <v>138</v>
      </c>
      <c r="AW8" s="54" t="s">
        <v>139</v>
      </c>
      <c r="AX8" s="59"/>
      <c r="AY8" s="59">
        <v>46211</v>
      </c>
      <c r="AZ8" s="59"/>
      <c r="BA8" s="60">
        <f>IFERROR(VLOOKUP(B8,'02_DS_Nhan_Viec'!B:L,5,0),"")</f>
      </c>
      <c r="BB8" s="54"/>
      <c r="BC8" s="61" t="str">
        <f t="array" ref="BC8">IF($B8="","",IF(IFERROR(INDEX('02_DS_Nhan_Viec'!$J:$J,MATCH($B8,'02_DS_Nhan_Viec'!$B:$B,0)),"")="","Đang theo dõi",IF(OR(IFERROR(INDEX('05_Theo_Doi_Gio_Cong_7_Ngay'!$R:$R,MATCH(IFERROR(INDEX('02_DS_Nhan_Viec'!$J:$J,MATCH($B8,'02_DS_Nhan_Viec'!$B:$B,0)),""),'05_Theo_Doi_Gio_Cong_7_Ngay'!$B:$B,0)),"")="",IFERROR(INDEX('05_Theo_Doi_Gio_Cong_7_Ngay'!$R:$R,MATCH(IFERROR(INDEX('02_DS_Nhan_Viec'!$J:$J,MATCH($B8,'02_DS_Nhan_Viec'!$B:$B,0)),""),'05_Theo_Doi_Gio_Cong_7_Ngay'!$B:$B,0)),0)=0),"Đang theo dõi",IFERROR(INDEX('06_DS_Chinh_Thuc'!$K:$K,MATCH(IFERROR(INDEX('05_Theo_Doi_Gio_Cong_7_Ngay'!$R:$R,MATCH(IFERROR(INDEX('02_DS_Nhan_Viec'!$J:$J,MATCH($B8,'02_DS_Nhan_Viec'!$B:$B,0)),""),'05_Theo_Doi_Gio_Cong_7_Ngay'!$B:$B,0)),0),'06_DS_Chinh_Thuc'!$B:$B,0)),"Đang theo dõi"))))</f>
        <v>Đang theo dõi</v>
      </c>
    </row>
    <row r="9" ht="40.5" customHeight="1" spans="1:55" x14ac:dyDescent="0.25">
      <c r="A9" s="52">
        <f t="shared" si="0"/>
        <v>8</v>
      </c>
      <c r="B9" s="52" t="str">
        <f t="shared" si="1"/>
        <v>UV0726-008</v>
      </c>
      <c r="C9" s="53">
        <v>46211</v>
      </c>
      <c r="D9" s="54" t="s">
        <v>158</v>
      </c>
      <c r="E9" s="55" t="s">
        <v>159</v>
      </c>
      <c r="F9" s="56" t="s">
        <v>136</v>
      </c>
      <c r="G9" s="56">
        <v>1970</v>
      </c>
      <c r="H9" s="56"/>
      <c r="I9" s="54"/>
      <c r="J9" s="57"/>
      <c r="K9" s="53"/>
      <c r="L9" s="54"/>
      <c r="M9" s="54" t="s">
        <v>160</v>
      </c>
      <c r="N9" s="54"/>
      <c r="O9" s="55"/>
      <c r="P9" s="54"/>
      <c r="Q9" s="58"/>
      <c r="R9" s="54"/>
      <c r="S9" s="54"/>
      <c r="T9" s="59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6"/>
      <c r="AH9" s="56"/>
      <c r="AI9" s="54"/>
      <c r="AJ9" s="54"/>
      <c r="AK9" s="54"/>
      <c r="AL9" s="56"/>
      <c r="AM9" s="56"/>
      <c r="AN9" s="54"/>
      <c r="AO9" s="56"/>
      <c r="AP9" s="54"/>
      <c r="AQ9" s="56"/>
      <c r="AR9" s="54"/>
      <c r="AS9" s="54"/>
      <c r="AT9" s="54"/>
      <c r="AU9" s="59">
        <f t="shared" si="2"/>
        <v>46225</v>
      </c>
      <c r="AV9" s="54" t="s">
        <v>138</v>
      </c>
      <c r="AW9" s="54" t="s">
        <v>139</v>
      </c>
      <c r="AX9" s="59"/>
      <c r="AY9" s="59">
        <v>46212</v>
      </c>
      <c r="AZ9" s="59">
        <v>46211</v>
      </c>
      <c r="BA9" s="60" t="str">
        <f>IFERROR(VLOOKUP(B9,'02_DS_Nhan_Viec'!B:L,5,0),"")</f>
        <v>✅ Đã nhận việc - Đúng hẹn</v>
      </c>
      <c r="BB9" s="54"/>
      <c r="BC9" s="61" t="str">
        <f t="array" ref="BC9">IF($B9="","",IF(IFERROR(INDEX('02_DS_Nhan_Viec'!$J:$J,MATCH($B9,'02_DS_Nhan_Viec'!$B:$B,0)),"")="","Đang theo dõi",IF(OR(IFERROR(INDEX('05_Theo_Doi_Gio_Cong_7_Ngay'!$R:$R,MATCH(IFERROR(INDEX('02_DS_Nhan_Viec'!$J:$J,MATCH($B9,'02_DS_Nhan_Viec'!$B:$B,0)),""),'05_Theo_Doi_Gio_Cong_7_Ngay'!$B:$B,0)),"")="",IFERROR(INDEX('05_Theo_Doi_Gio_Cong_7_Ngay'!$R:$R,MATCH(IFERROR(INDEX('02_DS_Nhan_Viec'!$J:$J,MATCH($B9,'02_DS_Nhan_Viec'!$B:$B,0)),""),'05_Theo_Doi_Gio_Cong_7_Ngay'!$B:$B,0)),0)=0),"Đang theo dõi",IFERROR(INDEX('06_DS_Chinh_Thuc'!$K:$K,MATCH(IFERROR(INDEX('05_Theo_Doi_Gio_Cong_7_Ngay'!$R:$R,MATCH(IFERROR(INDEX('02_DS_Nhan_Viec'!$J:$J,MATCH($B9,'02_DS_Nhan_Viec'!$B:$B,0)),""),'05_Theo_Doi_Gio_Cong_7_Ngay'!$B:$B,0)),0),'06_DS_Chinh_Thuc'!$B:$B,0)),"Đang theo dõi"))))</f>
        <v>Đang làm</v>
      </c>
    </row>
    <row r="10" ht="27" customHeight="1" spans="1:55" x14ac:dyDescent="0.25">
      <c r="A10" s="52">
        <f t="shared" si="0"/>
        <v>9</v>
      </c>
      <c r="B10" s="52" t="str">
        <f t="shared" si="1"/>
        <v>UV0726-009</v>
      </c>
      <c r="C10" s="53">
        <v>46205</v>
      </c>
      <c r="D10" s="54" t="s">
        <v>161</v>
      </c>
      <c r="E10" s="55" t="s">
        <v>162</v>
      </c>
      <c r="F10" s="56" t="s">
        <v>136</v>
      </c>
      <c r="G10" s="56">
        <v>2006</v>
      </c>
      <c r="H10" s="56"/>
      <c r="I10" s="54"/>
      <c r="J10" s="57"/>
      <c r="K10" s="53"/>
      <c r="L10" s="54"/>
      <c r="M10" s="54" t="s">
        <v>163</v>
      </c>
      <c r="N10" s="54"/>
      <c r="O10" s="55"/>
      <c r="P10" s="54"/>
      <c r="Q10" s="58"/>
      <c r="R10" s="54"/>
      <c r="S10" s="54"/>
      <c r="T10" s="59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6"/>
      <c r="AH10" s="56"/>
      <c r="AI10" s="54"/>
      <c r="AJ10" s="54"/>
      <c r="AK10" s="54"/>
      <c r="AL10" s="56"/>
      <c r="AM10" s="56"/>
      <c r="AN10" s="54"/>
      <c r="AO10" s="56"/>
      <c r="AP10" s="54"/>
      <c r="AQ10" s="56"/>
      <c r="AR10" s="54"/>
      <c r="AS10" s="54"/>
      <c r="AT10" s="54"/>
      <c r="AU10" s="59">
        <f t="shared" si="2"/>
        <v>46220</v>
      </c>
      <c r="AV10" s="54" t="s">
        <v>138</v>
      </c>
      <c r="AW10" s="54" t="s">
        <v>139</v>
      </c>
      <c r="AX10" s="59"/>
      <c r="AY10" s="59">
        <v>46204</v>
      </c>
      <c r="AZ10" s="59">
        <v>46206</v>
      </c>
      <c r="BA10" s="60" t="str">
        <f>IFERROR(VLOOKUP(B10,'02_DS_Nhan_Viec'!B:L,5,0),"")</f>
        <v>✅ Đã nhận việc - Đúng hẹn</v>
      </c>
      <c r="BB10" s="54"/>
      <c r="BC10" s="61" t="str">
        <f t="array" ref="BC10">IF($B10="","",IF(IFERROR(INDEX('02_DS_Nhan_Viec'!$J:$J,MATCH($B10,'02_DS_Nhan_Viec'!$B:$B,0)),"")="","Đang theo dõi",IF(OR(IFERROR(INDEX('05_Theo_Doi_Gio_Cong_7_Ngay'!$R:$R,MATCH(IFERROR(INDEX('02_DS_Nhan_Viec'!$J:$J,MATCH($B10,'02_DS_Nhan_Viec'!$B:$B,0)),""),'05_Theo_Doi_Gio_Cong_7_Ngay'!$B:$B,0)),"")="",IFERROR(INDEX('05_Theo_Doi_Gio_Cong_7_Ngay'!$R:$R,MATCH(IFERROR(INDEX('02_DS_Nhan_Viec'!$J:$J,MATCH($B10,'02_DS_Nhan_Viec'!$B:$B,0)),""),'05_Theo_Doi_Gio_Cong_7_Ngay'!$B:$B,0)),0)=0),"Đang theo dõi",IFERROR(INDEX('06_DS_Chinh_Thuc'!$K:$K,MATCH(IFERROR(INDEX('05_Theo_Doi_Gio_Cong_7_Ngay'!$R:$R,MATCH(IFERROR(INDEX('02_DS_Nhan_Viec'!$J:$J,MATCH($B10,'02_DS_Nhan_Viec'!$B:$B,0)),""),'05_Theo_Doi_Gio_Cong_7_Ngay'!$B:$B,0)),0),'06_DS_Chinh_Thuc'!$B:$B,0)),"Đang theo dõi"))))</f>
        <v>Đã nghỉ</v>
      </c>
    </row>
    <row r="11" ht="27" customHeight="1" spans="1:55" x14ac:dyDescent="0.25">
      <c r="A11" s="52">
        <f t="shared" si="0"/>
        <v>10</v>
      </c>
      <c r="B11" s="52" t="str">
        <f t="shared" si="1"/>
        <v>UV0726-010</v>
      </c>
      <c r="C11" s="53">
        <v>46204</v>
      </c>
      <c r="D11" s="54" t="s">
        <v>164</v>
      </c>
      <c r="E11" s="55" t="s">
        <v>165</v>
      </c>
      <c r="F11" s="56" t="s">
        <v>136</v>
      </c>
      <c r="G11" s="56">
        <v>1975</v>
      </c>
      <c r="H11" s="56"/>
      <c r="I11" s="54"/>
      <c r="J11" s="57"/>
      <c r="K11" s="53"/>
      <c r="L11" s="54"/>
      <c r="M11" s="54" t="s">
        <v>166</v>
      </c>
      <c r="N11" s="54"/>
      <c r="O11" s="55"/>
      <c r="P11" s="54"/>
      <c r="Q11" s="58"/>
      <c r="R11" s="54" t="s">
        <v>167</v>
      </c>
      <c r="S11" s="54"/>
      <c r="T11" s="59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6"/>
      <c r="AH11" s="56"/>
      <c r="AI11" s="54"/>
      <c r="AJ11" s="54"/>
      <c r="AK11" s="54"/>
      <c r="AL11" s="56"/>
      <c r="AM11" s="56"/>
      <c r="AN11" s="54"/>
      <c r="AO11" s="56"/>
      <c r="AP11" s="54"/>
      <c r="AQ11" s="56"/>
      <c r="AR11" s="54"/>
      <c r="AS11" s="54"/>
      <c r="AT11" s="54"/>
      <c r="AU11" s="59">
        <f t="shared" si="2"/>
        <v>46219</v>
      </c>
      <c r="AV11" s="54" t="s">
        <v>138</v>
      </c>
      <c r="AW11" s="54" t="s">
        <v>139</v>
      </c>
      <c r="AX11" s="59"/>
      <c r="AY11" s="59">
        <v>46214</v>
      </c>
      <c r="AZ11" s="59">
        <v>46205</v>
      </c>
      <c r="BA11" s="60" t="str">
        <f>IFERROR(VLOOKUP(B11,'02_DS_Nhan_Viec'!B:L,5,0),"")</f>
        <v>✅ Đã nhận việc - Đúng hẹn</v>
      </c>
      <c r="BB11" s="54"/>
      <c r="BC11" s="61" t="str">
        <f t="array" ref="BC11">IF($B11="","",IF(IFERROR(INDEX('02_DS_Nhan_Viec'!$J:$J,MATCH($B11,'02_DS_Nhan_Viec'!$B:$B,0)),"")="","Đang theo dõi",IF(OR(IFERROR(INDEX('05_Theo_Doi_Gio_Cong_7_Ngay'!$R:$R,MATCH(IFERROR(INDEX('02_DS_Nhan_Viec'!$J:$J,MATCH($B11,'02_DS_Nhan_Viec'!$B:$B,0)),""),'05_Theo_Doi_Gio_Cong_7_Ngay'!$B:$B,0)),"")="",IFERROR(INDEX('05_Theo_Doi_Gio_Cong_7_Ngay'!$R:$R,MATCH(IFERROR(INDEX('02_DS_Nhan_Viec'!$J:$J,MATCH($B11,'02_DS_Nhan_Viec'!$B:$B,0)),""),'05_Theo_Doi_Gio_Cong_7_Ngay'!$B:$B,0)),0)=0),"Đang theo dõi",IFERROR(INDEX('06_DS_Chinh_Thuc'!$K:$K,MATCH(IFERROR(INDEX('05_Theo_Doi_Gio_Cong_7_Ngay'!$R:$R,MATCH(IFERROR(INDEX('02_DS_Nhan_Viec'!$J:$J,MATCH($B11,'02_DS_Nhan_Viec'!$B:$B,0)),""),'05_Theo_Doi_Gio_Cong_7_Ngay'!$B:$B,0)),0),'06_DS_Chinh_Thuc'!$B:$B,0)),"Đang theo dõi"))))</f>
        <v>Đang theo dõi</v>
      </c>
    </row>
    <row r="12" ht="27" customHeight="1" spans="1:55" x14ac:dyDescent="0.25">
      <c r="A12" s="52">
        <f t="shared" si="0"/>
        <v>11</v>
      </c>
      <c r="B12" s="52" t="str">
        <f t="shared" si="1"/>
        <v>UV0826-001</v>
      </c>
      <c r="C12" s="53">
        <v>46237</v>
      </c>
      <c r="D12" s="54" t="s">
        <v>55</v>
      </c>
      <c r="E12" s="55" t="s">
        <v>168</v>
      </c>
      <c r="F12" s="56" t="s">
        <v>136</v>
      </c>
      <c r="G12" s="56">
        <v>1975</v>
      </c>
      <c r="H12" s="56"/>
      <c r="I12" s="54"/>
      <c r="J12" s="57" t="s">
        <v>169</v>
      </c>
      <c r="K12" s="53">
        <v>45663</v>
      </c>
      <c r="L12" s="54" t="s">
        <v>170</v>
      </c>
      <c r="M12" s="54" t="s">
        <v>171</v>
      </c>
      <c r="N12" s="54" t="s">
        <v>171</v>
      </c>
      <c r="O12" s="55"/>
      <c r="P12" s="54" t="s">
        <v>172</v>
      </c>
      <c r="Q12" s="58" t="s">
        <v>173</v>
      </c>
      <c r="R12" s="54"/>
      <c r="S12" s="54"/>
      <c r="T12" s="59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6"/>
      <c r="AH12" s="56"/>
      <c r="AI12" s="54"/>
      <c r="AJ12" s="54"/>
      <c r="AK12" s="54"/>
      <c r="AL12" s="56"/>
      <c r="AM12" s="56"/>
      <c r="AN12" s="54"/>
      <c r="AO12" s="56"/>
      <c r="AP12" s="54"/>
      <c r="AQ12" s="56"/>
      <c r="AR12" s="54"/>
      <c r="AS12" s="54"/>
      <c r="AT12" s="54"/>
      <c r="AU12" s="59">
        <f t="shared" si="2"/>
        <v>46258</v>
      </c>
      <c r="AV12" s="54" t="s">
        <v>138</v>
      </c>
      <c r="AW12" s="54" t="s">
        <v>139</v>
      </c>
      <c r="AX12" s="59"/>
      <c r="AY12" s="59">
        <v>46237</v>
      </c>
      <c r="AZ12" s="59">
        <v>46244</v>
      </c>
      <c r="BA12" s="60" t="str">
        <f>IFERROR(VLOOKUP(B12,'02_DS_Nhan_Viec'!B:L,5,0),"")</f>
        <v>✅ Đã nhận việc - Đúng hẹn</v>
      </c>
      <c r="BB12" s="54"/>
      <c r="BC12" s="61" t="str">
        <f t="array" ref="BC12">IF($B12="","",IF(IFERROR(INDEX('02_DS_Nhan_Viec'!$J:$J,MATCH($B12,'02_DS_Nhan_Viec'!$B:$B,0)),"")="","Đang theo dõi",IF(OR(IFERROR(INDEX('05_Theo_Doi_Gio_Cong_7_Ngay'!$R:$R,MATCH(IFERROR(INDEX('02_DS_Nhan_Viec'!$J:$J,MATCH($B12,'02_DS_Nhan_Viec'!$B:$B,0)),""),'05_Theo_Doi_Gio_Cong_7_Ngay'!$B:$B,0)),"")="",IFERROR(INDEX('05_Theo_Doi_Gio_Cong_7_Ngay'!$R:$R,MATCH(IFERROR(INDEX('02_DS_Nhan_Viec'!$J:$J,MATCH($B12,'02_DS_Nhan_Viec'!$B:$B,0)),""),'05_Theo_Doi_Gio_Cong_7_Ngay'!$B:$B,0)),0)=0),"Đang theo dõi",IFERROR(INDEX('06_DS_Chinh_Thuc'!$K:$K,MATCH(IFERROR(INDEX('05_Theo_Doi_Gio_Cong_7_Ngay'!$R:$R,MATCH(IFERROR(INDEX('02_DS_Nhan_Viec'!$J:$J,MATCH($B12,'02_DS_Nhan_Viec'!$B:$B,0)),""),'05_Theo_Doi_Gio_Cong_7_Ngay'!$B:$B,0)),0),'06_DS_Chinh_Thuc'!$B:$B,0)),"Đang theo dõi"))))</f>
        <v>Đã nghỉ</v>
      </c>
    </row>
    <row r="13" ht="27" customHeight="1" spans="1:55" x14ac:dyDescent="0.25">
      <c r="A13" s="52">
        <f t="shared" si="0"/>
        <v>12</v>
      </c>
      <c r="B13" s="52" t="str">
        <f t="shared" si="1"/>
        <v>UV0826-002</v>
      </c>
      <c r="C13" s="53">
        <v>46239</v>
      </c>
      <c r="D13" s="54" t="s">
        <v>59</v>
      </c>
      <c r="E13" s="55"/>
      <c r="F13" s="56" t="s">
        <v>144</v>
      </c>
      <c r="G13" s="56">
        <v>2005</v>
      </c>
      <c r="H13" s="56"/>
      <c r="I13" s="54"/>
      <c r="J13" s="57" t="s">
        <v>174</v>
      </c>
      <c r="K13" s="53">
        <v>44574</v>
      </c>
      <c r="L13" s="54" t="s">
        <v>175</v>
      </c>
      <c r="M13" s="54" t="s">
        <v>142</v>
      </c>
      <c r="N13" s="54" t="s">
        <v>142</v>
      </c>
      <c r="O13" s="55"/>
      <c r="P13" s="54" t="s">
        <v>140</v>
      </c>
      <c r="Q13" s="58" t="s">
        <v>176</v>
      </c>
      <c r="R13" s="54"/>
      <c r="S13" s="54"/>
      <c r="T13" s="59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6"/>
      <c r="AH13" s="56"/>
      <c r="AI13" s="54"/>
      <c r="AJ13" s="54"/>
      <c r="AK13" s="54"/>
      <c r="AL13" s="56"/>
      <c r="AM13" s="56"/>
      <c r="AN13" s="54"/>
      <c r="AO13" s="56"/>
      <c r="AP13" s="54"/>
      <c r="AQ13" s="56"/>
      <c r="AR13" s="54"/>
      <c r="AS13" s="54"/>
      <c r="AT13" s="54"/>
      <c r="AU13" s="59">
        <f t="shared" si="2"/>
        <v>46262</v>
      </c>
      <c r="AV13" s="54" t="s">
        <v>138</v>
      </c>
      <c r="AW13" s="54" t="s">
        <v>139</v>
      </c>
      <c r="AX13" s="59"/>
      <c r="AY13" s="59">
        <v>46239</v>
      </c>
      <c r="AZ13" s="59">
        <v>46248</v>
      </c>
      <c r="BA13" s="60" t="str">
        <f>IFERROR(VLOOKUP(B13,'02_DS_Nhan_Viec'!B:L,5,0),"")</f>
        <v>✅ Đã nhận việc - Đúng hẹn</v>
      </c>
      <c r="BB13" s="54"/>
      <c r="BC13" s="61" t="str">
        <f t="array" ref="BC13">IF($B13="","",IF(IFERROR(INDEX('02_DS_Nhan_Viec'!$J:$J,MATCH($B13,'02_DS_Nhan_Viec'!$B:$B,0)),"")="","Đang theo dõi",IF(OR(IFERROR(INDEX('05_Theo_Doi_Gio_Cong_7_Ngay'!$R:$R,MATCH(IFERROR(INDEX('02_DS_Nhan_Viec'!$J:$J,MATCH($B13,'02_DS_Nhan_Viec'!$B:$B,0)),""),'05_Theo_Doi_Gio_Cong_7_Ngay'!$B:$B,0)),"")="",IFERROR(INDEX('05_Theo_Doi_Gio_Cong_7_Ngay'!$R:$R,MATCH(IFERROR(INDEX('02_DS_Nhan_Viec'!$J:$J,MATCH($B13,'02_DS_Nhan_Viec'!$B:$B,0)),""),'05_Theo_Doi_Gio_Cong_7_Ngay'!$B:$B,0)),0)=0),"Đang theo dõi",IFERROR(INDEX('06_DS_Chinh_Thuc'!$K:$K,MATCH(IFERROR(INDEX('05_Theo_Doi_Gio_Cong_7_Ngay'!$R:$R,MATCH(IFERROR(INDEX('02_DS_Nhan_Viec'!$J:$J,MATCH($B13,'02_DS_Nhan_Viec'!$B:$B,0)),""),'05_Theo_Doi_Gio_Cong_7_Ngay'!$B:$B,0)),0),'06_DS_Chinh_Thuc'!$B:$B,0)),"Đang theo dõi"))))</f>
        <v>Đang làm</v>
      </c>
    </row>
    <row r="14" ht="27" customHeight="1" spans="1:55" x14ac:dyDescent="0.25">
      <c r="A14" s="52">
        <f t="shared" si="0"/>
        <v>13</v>
      </c>
      <c r="B14" s="52" t="str">
        <f t="shared" si="1"/>
        <v>UV0826-003</v>
      </c>
      <c r="C14" s="53">
        <v>46244</v>
      </c>
      <c r="D14" s="54" t="s">
        <v>177</v>
      </c>
      <c r="E14" s="55" t="s">
        <v>178</v>
      </c>
      <c r="F14" s="56" t="s">
        <v>136</v>
      </c>
      <c r="G14" s="56">
        <v>2005</v>
      </c>
      <c r="H14" s="56"/>
      <c r="I14" s="54"/>
      <c r="J14" s="57" t="s">
        <v>179</v>
      </c>
      <c r="K14" s="53">
        <v>44751</v>
      </c>
      <c r="L14" s="54" t="s">
        <v>175</v>
      </c>
      <c r="M14" s="54" t="s">
        <v>180</v>
      </c>
      <c r="N14" s="54" t="s">
        <v>180</v>
      </c>
      <c r="O14" s="55"/>
      <c r="P14" s="54" t="s">
        <v>181</v>
      </c>
      <c r="Q14" s="58" t="s">
        <v>182</v>
      </c>
      <c r="R14" s="54"/>
      <c r="S14" s="54"/>
      <c r="T14" s="59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6"/>
      <c r="AH14" s="56"/>
      <c r="AI14" s="54"/>
      <c r="AJ14" s="54"/>
      <c r="AK14" s="54"/>
      <c r="AL14" s="56"/>
      <c r="AM14" s="56"/>
      <c r="AN14" s="54"/>
      <c r="AO14" s="56"/>
      <c r="AP14" s="54"/>
      <c r="AQ14" s="56"/>
      <c r="AR14" s="54"/>
      <c r="AS14" s="54"/>
      <c r="AT14" s="54"/>
      <c r="AU14" s="59">
        <f t="shared" si="2"/>
        <v>46258</v>
      </c>
      <c r="AV14" s="54" t="s">
        <v>138</v>
      </c>
      <c r="AW14" s="54" t="s">
        <v>139</v>
      </c>
      <c r="AX14" s="59"/>
      <c r="AY14" s="59">
        <v>46244</v>
      </c>
      <c r="AZ14" s="59">
        <v>46244</v>
      </c>
      <c r="BA14" s="60" t="str">
        <f>IFERROR(VLOOKUP(B14,'02_DS_Nhan_Viec'!B:L,5,0),"")</f>
        <v>✅ Đã nhận việc - Đúng hẹn</v>
      </c>
      <c r="BB14" s="54"/>
      <c r="BC14" s="61" t="str">
        <f t="array" ref="BC14">IF($B14="","",IF(IFERROR(INDEX('02_DS_Nhan_Viec'!$J:$J,MATCH($B14,'02_DS_Nhan_Viec'!$B:$B,0)),"")="","Đang theo dõi",IF(OR(IFERROR(INDEX('05_Theo_Doi_Gio_Cong_7_Ngay'!$R:$R,MATCH(IFERROR(INDEX('02_DS_Nhan_Viec'!$J:$J,MATCH($B14,'02_DS_Nhan_Viec'!$B:$B,0)),""),'05_Theo_Doi_Gio_Cong_7_Ngay'!$B:$B,0)),"")="",IFERROR(INDEX('05_Theo_Doi_Gio_Cong_7_Ngay'!$R:$R,MATCH(IFERROR(INDEX('02_DS_Nhan_Viec'!$J:$J,MATCH($B14,'02_DS_Nhan_Viec'!$B:$B,0)),""),'05_Theo_Doi_Gio_Cong_7_Ngay'!$B:$B,0)),0)=0),"Đang theo dõi",IFERROR(INDEX('06_DS_Chinh_Thuc'!$K:$K,MATCH(IFERROR(INDEX('05_Theo_Doi_Gio_Cong_7_Ngay'!$R:$R,MATCH(IFERROR(INDEX('02_DS_Nhan_Viec'!$J:$J,MATCH($B14,'02_DS_Nhan_Viec'!$B:$B,0)),""),'05_Theo_Doi_Gio_Cong_7_Ngay'!$B:$B,0)),0),'06_DS_Chinh_Thuc'!$B:$B,0)),"Đang theo dõi"))))</f>
        <v>Đang theo dõi</v>
      </c>
    </row>
    <row r="15" ht="27" customHeight="1" spans="1:55" x14ac:dyDescent="0.25">
      <c r="A15" s="52">
        <f t="shared" si="0"/>
        <v>14</v>
      </c>
      <c r="B15" s="52" t="str">
        <f t="shared" si="1"/>
        <v>UV0826-004</v>
      </c>
      <c r="C15" s="53">
        <v>46239</v>
      </c>
      <c r="D15" s="54" t="s">
        <v>183</v>
      </c>
      <c r="E15" s="55" t="s">
        <v>184</v>
      </c>
      <c r="F15" s="56" t="s">
        <v>136</v>
      </c>
      <c r="G15" s="56">
        <v>2005</v>
      </c>
      <c r="H15" s="56"/>
      <c r="I15" s="54"/>
      <c r="J15" s="57" t="s">
        <v>185</v>
      </c>
      <c r="K15" s="53">
        <v>44326</v>
      </c>
      <c r="L15" s="54" t="s">
        <v>186</v>
      </c>
      <c r="M15" s="54" t="s">
        <v>187</v>
      </c>
      <c r="N15" s="54" t="s">
        <v>187</v>
      </c>
      <c r="O15" s="55"/>
      <c r="P15" s="54" t="s">
        <v>188</v>
      </c>
      <c r="Q15" s="58" t="s">
        <v>189</v>
      </c>
      <c r="R15" s="54"/>
      <c r="S15" s="54"/>
      <c r="T15" s="59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6"/>
      <c r="AH15" s="56"/>
      <c r="AI15" s="54"/>
      <c r="AJ15" s="54"/>
      <c r="AK15" s="54"/>
      <c r="AL15" s="56"/>
      <c r="AM15" s="56"/>
      <c r="AN15" s="54"/>
      <c r="AO15" s="56"/>
      <c r="AP15" s="54"/>
      <c r="AQ15" s="56"/>
      <c r="AR15" s="54"/>
      <c r="AS15" s="54"/>
      <c r="AT15" s="54"/>
      <c r="AU15" s="59">
        <f t="shared" si="2"/>
        <v>14</v>
      </c>
      <c r="AV15" s="54" t="s">
        <v>138</v>
      </c>
      <c r="AW15" s="54" t="s">
        <v>139</v>
      </c>
      <c r="AX15" s="59"/>
      <c r="AY15" s="59">
        <v>46239</v>
      </c>
      <c r="AZ15" s="59"/>
      <c r="BA15" s="60">
        <f>IFERROR(VLOOKUP(B15,'02_DS_Nhan_Viec'!B:L,5,0),"")</f>
      </c>
      <c r="BB15" s="54"/>
      <c r="BC15" s="61" t="str">
        <f t="array" ref="BC15">IF($B15="","",IF(IFERROR(INDEX('02_DS_Nhan_Viec'!$J:$J,MATCH($B15,'02_DS_Nhan_Viec'!$B:$B,0)),"")="","Đang theo dõi",IF(OR(IFERROR(INDEX('05_Theo_Doi_Gio_Cong_7_Ngay'!$R:$R,MATCH(IFERROR(INDEX('02_DS_Nhan_Viec'!$J:$J,MATCH($B15,'02_DS_Nhan_Viec'!$B:$B,0)),""),'05_Theo_Doi_Gio_Cong_7_Ngay'!$B:$B,0)),"")="",IFERROR(INDEX('05_Theo_Doi_Gio_Cong_7_Ngay'!$R:$R,MATCH(IFERROR(INDEX('02_DS_Nhan_Viec'!$J:$J,MATCH($B15,'02_DS_Nhan_Viec'!$B:$B,0)),""),'05_Theo_Doi_Gio_Cong_7_Ngay'!$B:$B,0)),0)=0),"Đang theo dõi",IFERROR(INDEX('06_DS_Chinh_Thuc'!$K:$K,MATCH(IFERROR(INDEX('05_Theo_Doi_Gio_Cong_7_Ngay'!$R:$R,MATCH(IFERROR(INDEX('02_DS_Nhan_Viec'!$J:$J,MATCH($B15,'02_DS_Nhan_Viec'!$B:$B,0)),""),'05_Theo_Doi_Gio_Cong_7_Ngay'!$B:$B,0)),0),'06_DS_Chinh_Thuc'!$B:$B,0)),"Đang theo dõi"))))</f>
        <v>Đang theo dõi</v>
      </c>
    </row>
    <row r="16" ht="40.5" customHeight="1" spans="1:55" x14ac:dyDescent="0.25">
      <c r="A16" s="52">
        <f t="shared" si="0"/>
        <v>15</v>
      </c>
      <c r="B16" s="52" t="str">
        <f t="shared" si="1"/>
        <v>UV0826-005</v>
      </c>
      <c r="C16" s="53">
        <v>46244</v>
      </c>
      <c r="D16" s="54" t="s">
        <v>190</v>
      </c>
      <c r="E16" s="55" t="s">
        <v>191</v>
      </c>
      <c r="F16" s="56" t="s">
        <v>136</v>
      </c>
      <c r="G16" s="56">
        <v>2008</v>
      </c>
      <c r="H16" s="56"/>
      <c r="I16" s="54"/>
      <c r="J16" s="57" t="s">
        <v>192</v>
      </c>
      <c r="K16" s="53">
        <v>44964</v>
      </c>
      <c r="L16" s="54" t="s">
        <v>193</v>
      </c>
      <c r="M16" s="54" t="s">
        <v>194</v>
      </c>
      <c r="N16" s="54" t="s">
        <v>194</v>
      </c>
      <c r="O16" s="55"/>
      <c r="P16" s="54" t="s">
        <v>195</v>
      </c>
      <c r="Q16" s="58" t="s">
        <v>196</v>
      </c>
      <c r="R16" s="54"/>
      <c r="S16" s="54"/>
      <c r="T16" s="59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6"/>
      <c r="AH16" s="56"/>
      <c r="AI16" s="54"/>
      <c r="AJ16" s="54"/>
      <c r="AK16" s="54"/>
      <c r="AL16" s="56"/>
      <c r="AM16" s="56"/>
      <c r="AN16" s="54"/>
      <c r="AO16" s="56"/>
      <c r="AP16" s="54"/>
      <c r="AQ16" s="56"/>
      <c r="AR16" s="54"/>
      <c r="AS16" s="54"/>
      <c r="AT16" s="54"/>
      <c r="AU16" s="59">
        <f t="shared" si="2"/>
        <v>46258</v>
      </c>
      <c r="AV16" s="54" t="s">
        <v>138</v>
      </c>
      <c r="AW16" s="54" t="s">
        <v>139</v>
      </c>
      <c r="AX16" s="59"/>
      <c r="AY16" s="59">
        <v>46244</v>
      </c>
      <c r="AZ16" s="59">
        <v>46244</v>
      </c>
      <c r="BA16" s="60" t="str">
        <f>IFERROR(VLOOKUP(B16,'02_DS_Nhan_Viec'!B:L,5,0),"")</f>
        <v>✅ Đã nhận việc - Đúng hẹn</v>
      </c>
      <c r="BB16" s="54"/>
      <c r="BC16" s="61" t="str">
        <f t="array" ref="BC16">IF($B16="","",IF(IFERROR(INDEX('02_DS_Nhan_Viec'!$J:$J,MATCH($B16,'02_DS_Nhan_Viec'!$B:$B,0)),"")="","Đang theo dõi",IF(OR(IFERROR(INDEX('05_Theo_Doi_Gio_Cong_7_Ngay'!$R:$R,MATCH(IFERROR(INDEX('02_DS_Nhan_Viec'!$J:$J,MATCH($B16,'02_DS_Nhan_Viec'!$B:$B,0)),""),'05_Theo_Doi_Gio_Cong_7_Ngay'!$B:$B,0)),"")="",IFERROR(INDEX('05_Theo_Doi_Gio_Cong_7_Ngay'!$R:$R,MATCH(IFERROR(INDEX('02_DS_Nhan_Viec'!$J:$J,MATCH($B16,'02_DS_Nhan_Viec'!$B:$B,0)),""),'05_Theo_Doi_Gio_Cong_7_Ngay'!$B:$B,0)),0)=0),"Đang theo dõi",IFERROR(INDEX('06_DS_Chinh_Thuc'!$K:$K,MATCH(IFERROR(INDEX('05_Theo_Doi_Gio_Cong_7_Ngay'!$R:$R,MATCH(IFERROR(INDEX('02_DS_Nhan_Viec'!$J:$J,MATCH($B16,'02_DS_Nhan_Viec'!$B:$B,0)),""),'05_Theo_Doi_Gio_Cong_7_Ngay'!$B:$B,0)),0),'06_DS_Chinh_Thuc'!$B:$B,0)),"Đang theo dõi"))))</f>
        <v>Đang làm</v>
      </c>
    </row>
    <row r="17" ht="27" customHeight="1" spans="1:55" x14ac:dyDescent="0.25">
      <c r="A17" s="52">
        <f t="shared" si="0"/>
        <v>16</v>
      </c>
      <c r="B17" s="52" t="str">
        <f t="shared" si="1"/>
        <v>UV0826-006</v>
      </c>
      <c r="C17" s="53">
        <v>46244</v>
      </c>
      <c r="D17" s="54" t="s">
        <v>197</v>
      </c>
      <c r="E17" s="55"/>
      <c r="F17" s="56" t="s">
        <v>136</v>
      </c>
      <c r="G17" s="56">
        <v>2011</v>
      </c>
      <c r="H17" s="56"/>
      <c r="I17" s="54"/>
      <c r="J17" s="57"/>
      <c r="K17" s="53"/>
      <c r="L17" s="54"/>
      <c r="M17" s="54" t="s">
        <v>198</v>
      </c>
      <c r="N17" s="54" t="s">
        <v>198</v>
      </c>
      <c r="O17" s="55"/>
      <c r="P17" s="54" t="s">
        <v>199</v>
      </c>
      <c r="Q17" s="58" t="s">
        <v>200</v>
      </c>
      <c r="R17" s="54"/>
      <c r="S17" s="54"/>
      <c r="T17" s="59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6"/>
      <c r="AH17" s="56"/>
      <c r="AI17" s="54"/>
      <c r="AJ17" s="54"/>
      <c r="AK17" s="54"/>
      <c r="AL17" s="56"/>
      <c r="AM17" s="56"/>
      <c r="AN17" s="54"/>
      <c r="AO17" s="56"/>
      <c r="AP17" s="54"/>
      <c r="AQ17" s="56"/>
      <c r="AR17" s="54"/>
      <c r="AS17" s="54"/>
      <c r="AT17" s="54"/>
      <c r="AU17" s="59">
        <f t="shared" si="2"/>
        <v>14</v>
      </c>
      <c r="AV17" s="54" t="s">
        <v>138</v>
      </c>
      <c r="AW17" s="54" t="s">
        <v>139</v>
      </c>
      <c r="AX17" s="59"/>
      <c r="AY17" s="59">
        <v>46244</v>
      </c>
      <c r="AZ17" s="59"/>
      <c r="BA17" s="60">
        <f>IFERROR(VLOOKUP(B17,'02_DS_Nhan_Viec'!B:L,5,0),"")</f>
      </c>
      <c r="BB17" s="54"/>
      <c r="BC17" s="61" t="str">
        <f t="array" ref="BC17">IF($B17="","",IF(IFERROR(INDEX('02_DS_Nhan_Viec'!$J:$J,MATCH($B17,'02_DS_Nhan_Viec'!$B:$B,0)),"")="","Đang theo dõi",IF(OR(IFERROR(INDEX('05_Theo_Doi_Gio_Cong_7_Ngay'!$R:$R,MATCH(IFERROR(INDEX('02_DS_Nhan_Viec'!$J:$J,MATCH($B17,'02_DS_Nhan_Viec'!$B:$B,0)),""),'05_Theo_Doi_Gio_Cong_7_Ngay'!$B:$B,0)),"")="",IFERROR(INDEX('05_Theo_Doi_Gio_Cong_7_Ngay'!$R:$R,MATCH(IFERROR(INDEX('02_DS_Nhan_Viec'!$J:$J,MATCH($B17,'02_DS_Nhan_Viec'!$B:$B,0)),""),'05_Theo_Doi_Gio_Cong_7_Ngay'!$B:$B,0)),0)=0),"Đang theo dõi",IFERROR(INDEX('06_DS_Chinh_Thuc'!$K:$K,MATCH(IFERROR(INDEX('05_Theo_Doi_Gio_Cong_7_Ngay'!$R:$R,MATCH(IFERROR(INDEX('02_DS_Nhan_Viec'!$J:$J,MATCH($B17,'02_DS_Nhan_Viec'!$B:$B,0)),""),'05_Theo_Doi_Gio_Cong_7_Ngay'!$B:$B,0)),0),'06_DS_Chinh_Thuc'!$B:$B,0)),"Đang theo dõi"))))</f>
        <v>Đang theo dõi</v>
      </c>
    </row>
    <row r="18" ht="27" customHeight="1" spans="1:55" x14ac:dyDescent="0.25">
      <c r="A18" s="52">
        <f t="shared" si="0"/>
        <v>17</v>
      </c>
      <c r="B18" s="52" t="str">
        <f t="shared" si="1"/>
        <v>UV0826-007</v>
      </c>
      <c r="C18" s="53">
        <v>46245</v>
      </c>
      <c r="D18" s="54" t="s">
        <v>201</v>
      </c>
      <c r="E18" s="55" t="s">
        <v>202</v>
      </c>
      <c r="F18" s="56" t="s">
        <v>136</v>
      </c>
      <c r="G18" s="56">
        <v>1976</v>
      </c>
      <c r="H18" s="56"/>
      <c r="I18" s="54"/>
      <c r="J18" s="57" t="s">
        <v>203</v>
      </c>
      <c r="K18" s="53">
        <v>44546</v>
      </c>
      <c r="L18" s="54" t="s">
        <v>204</v>
      </c>
      <c r="M18" s="54" t="s">
        <v>205</v>
      </c>
      <c r="N18" s="54" t="s">
        <v>205</v>
      </c>
      <c r="O18" s="55"/>
      <c r="P18" s="54" t="s">
        <v>206</v>
      </c>
      <c r="Q18" s="58" t="s">
        <v>207</v>
      </c>
      <c r="R18" s="54"/>
      <c r="S18" s="54"/>
      <c r="T18" s="59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6"/>
      <c r="AH18" s="56"/>
      <c r="AI18" s="54"/>
      <c r="AJ18" s="54"/>
      <c r="AK18" s="54"/>
      <c r="AL18" s="56"/>
      <c r="AM18" s="56"/>
      <c r="AN18" s="54"/>
      <c r="AO18" s="56"/>
      <c r="AP18" s="54"/>
      <c r="AQ18" s="56"/>
      <c r="AR18" s="54"/>
      <c r="AS18" s="54"/>
      <c r="AT18" s="54"/>
      <c r="AU18" s="59">
        <f t="shared" si="2"/>
        <v>46260</v>
      </c>
      <c r="AV18" s="54" t="s">
        <v>138</v>
      </c>
      <c r="AW18" s="54" t="s">
        <v>139</v>
      </c>
      <c r="AX18" s="59"/>
      <c r="AY18" s="59">
        <v>46245</v>
      </c>
      <c r="AZ18" s="59">
        <v>46246</v>
      </c>
      <c r="BA18" s="60" t="str">
        <f>IFERROR(VLOOKUP(B18,'02_DS_Nhan_Viec'!B:L,5,0),"")</f>
        <v>✅ Đã nhận việc - Đúng hẹn</v>
      </c>
      <c r="BB18" s="54"/>
      <c r="BC18" s="61" t="str">
        <f t="array" ref="BC18">IF($B18="","",IF(IFERROR(INDEX('02_DS_Nhan_Viec'!$J:$J,MATCH($B18,'02_DS_Nhan_Viec'!$B:$B,0)),"")="","Đang theo dõi",IF(OR(IFERROR(INDEX('05_Theo_Doi_Gio_Cong_7_Ngay'!$R:$R,MATCH(IFERROR(INDEX('02_DS_Nhan_Viec'!$J:$J,MATCH($B18,'02_DS_Nhan_Viec'!$B:$B,0)),""),'05_Theo_Doi_Gio_Cong_7_Ngay'!$B:$B,0)),"")="",IFERROR(INDEX('05_Theo_Doi_Gio_Cong_7_Ngay'!$R:$R,MATCH(IFERROR(INDEX('02_DS_Nhan_Viec'!$J:$J,MATCH($B18,'02_DS_Nhan_Viec'!$B:$B,0)),""),'05_Theo_Doi_Gio_Cong_7_Ngay'!$B:$B,0)),0)=0),"Đang theo dõi",IFERROR(INDEX('06_DS_Chinh_Thuc'!$K:$K,MATCH(IFERROR(INDEX('05_Theo_Doi_Gio_Cong_7_Ngay'!$R:$R,MATCH(IFERROR(INDEX('02_DS_Nhan_Viec'!$J:$J,MATCH($B18,'02_DS_Nhan_Viec'!$B:$B,0)),""),'05_Theo_Doi_Gio_Cong_7_Ngay'!$B:$B,0)),0),'06_DS_Chinh_Thuc'!$B:$B,0)),"Đang theo dõi"))))</f>
        <v>Đang làm</v>
      </c>
    </row>
    <row r="19" ht="40.5" customHeight="1" spans="1:55" x14ac:dyDescent="0.25">
      <c r="A19" s="52">
        <f t="shared" si="0"/>
        <v>18</v>
      </c>
      <c r="B19" s="52" t="str">
        <f t="shared" si="1"/>
        <v>UV0826-008</v>
      </c>
      <c r="C19" s="53">
        <v>46245</v>
      </c>
      <c r="D19" s="54" t="s">
        <v>208</v>
      </c>
      <c r="E19" s="55" t="s">
        <v>200</v>
      </c>
      <c r="F19" s="56" t="s">
        <v>144</v>
      </c>
      <c r="G19" s="56">
        <v>1983</v>
      </c>
      <c r="H19" s="56"/>
      <c r="I19" s="54"/>
      <c r="J19" s="57" t="s">
        <v>209</v>
      </c>
      <c r="K19" s="53">
        <v>44978</v>
      </c>
      <c r="L19" s="54" t="s">
        <v>210</v>
      </c>
      <c r="M19" s="54" t="s">
        <v>211</v>
      </c>
      <c r="N19" s="54" t="s">
        <v>211</v>
      </c>
      <c r="O19" s="55"/>
      <c r="P19" s="54" t="s">
        <v>199</v>
      </c>
      <c r="Q19" s="58" t="s">
        <v>200</v>
      </c>
      <c r="R19" s="54"/>
      <c r="S19" s="54"/>
      <c r="T19" s="59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6"/>
      <c r="AH19" s="56"/>
      <c r="AI19" s="54"/>
      <c r="AJ19" s="54"/>
      <c r="AK19" s="54"/>
      <c r="AL19" s="56"/>
      <c r="AM19" s="56"/>
      <c r="AN19" s="54"/>
      <c r="AO19" s="56"/>
      <c r="AP19" s="54"/>
      <c r="AQ19" s="56"/>
      <c r="AR19" s="54"/>
      <c r="AS19" s="54"/>
      <c r="AT19" s="54"/>
      <c r="AU19" s="59">
        <f t="shared" si="2"/>
        <v>14</v>
      </c>
      <c r="AV19" s="54" t="s">
        <v>138</v>
      </c>
      <c r="AW19" s="54" t="s">
        <v>139</v>
      </c>
      <c r="AX19" s="59"/>
      <c r="AY19" s="59">
        <v>46245</v>
      </c>
      <c r="AZ19" s="59"/>
      <c r="BA19" s="60">
        <f>IFERROR(VLOOKUP(B19,'02_DS_Nhan_Viec'!B:L,5,0),"")</f>
      </c>
      <c r="BB19" s="54"/>
      <c r="BC19" s="61" t="str">
        <f t="array" ref="BC19">IF($B19="","",IF(IFERROR(INDEX('02_DS_Nhan_Viec'!$J:$J,MATCH($B19,'02_DS_Nhan_Viec'!$B:$B,0)),"")="","Đang theo dõi",IF(OR(IFERROR(INDEX('05_Theo_Doi_Gio_Cong_7_Ngay'!$R:$R,MATCH(IFERROR(INDEX('02_DS_Nhan_Viec'!$J:$J,MATCH($B19,'02_DS_Nhan_Viec'!$B:$B,0)),""),'05_Theo_Doi_Gio_Cong_7_Ngay'!$B:$B,0)),"")="",IFERROR(INDEX('05_Theo_Doi_Gio_Cong_7_Ngay'!$R:$R,MATCH(IFERROR(INDEX('02_DS_Nhan_Viec'!$J:$J,MATCH($B19,'02_DS_Nhan_Viec'!$B:$B,0)),""),'05_Theo_Doi_Gio_Cong_7_Ngay'!$B:$B,0)),0)=0),"Đang theo dõi",IFERROR(INDEX('06_DS_Chinh_Thuc'!$K:$K,MATCH(IFERROR(INDEX('05_Theo_Doi_Gio_Cong_7_Ngay'!$R:$R,MATCH(IFERROR(INDEX('02_DS_Nhan_Viec'!$J:$J,MATCH($B19,'02_DS_Nhan_Viec'!$B:$B,0)),""),'05_Theo_Doi_Gio_Cong_7_Ngay'!$B:$B,0)),0),'06_DS_Chinh_Thuc'!$B:$B,0)),"Đang theo dõi"))))</f>
        <v>Đang theo dõi</v>
      </c>
    </row>
    <row r="20" ht="40.5" customHeight="1" spans="1:55" x14ac:dyDescent="0.25">
      <c r="A20" s="52">
        <f t="shared" si="0"/>
        <v>19</v>
      </c>
      <c r="B20" s="52" t="str">
        <f t="shared" si="1"/>
        <v>UV0826-009</v>
      </c>
      <c r="C20" s="53">
        <v>46245</v>
      </c>
      <c r="D20" s="54" t="s">
        <v>199</v>
      </c>
      <c r="E20" s="55" t="s">
        <v>200</v>
      </c>
      <c r="F20" s="56" t="s">
        <v>136</v>
      </c>
      <c r="G20" s="56">
        <v>1987</v>
      </c>
      <c r="H20" s="56"/>
      <c r="I20" s="54"/>
      <c r="J20" s="57"/>
      <c r="K20" s="53"/>
      <c r="L20" s="54"/>
      <c r="M20" s="54" t="s">
        <v>212</v>
      </c>
      <c r="N20" s="54" t="s">
        <v>212</v>
      </c>
      <c r="O20" s="55"/>
      <c r="P20" s="54" t="s">
        <v>208</v>
      </c>
      <c r="Q20" s="58" t="s">
        <v>200</v>
      </c>
      <c r="R20" s="54"/>
      <c r="S20" s="54"/>
      <c r="T20" s="59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6"/>
      <c r="AH20" s="56"/>
      <c r="AI20" s="54"/>
      <c r="AJ20" s="54"/>
      <c r="AK20" s="54"/>
      <c r="AL20" s="56"/>
      <c r="AM20" s="56"/>
      <c r="AN20" s="54"/>
      <c r="AO20" s="56"/>
      <c r="AP20" s="54"/>
      <c r="AQ20" s="56"/>
      <c r="AR20" s="54"/>
      <c r="AS20" s="54"/>
      <c r="AT20" s="54"/>
      <c r="AU20" s="59">
        <f t="shared" si="2"/>
        <v>14</v>
      </c>
      <c r="AV20" s="54" t="s">
        <v>138</v>
      </c>
      <c r="AW20" s="54" t="s">
        <v>139</v>
      </c>
      <c r="AX20" s="59"/>
      <c r="AY20" s="59">
        <v>46245</v>
      </c>
      <c r="AZ20" s="59"/>
      <c r="BA20" s="60">
        <f>IFERROR(VLOOKUP(B20,'02_DS_Nhan_Viec'!B:L,5,0),"")</f>
      </c>
      <c r="BB20" s="54"/>
      <c r="BC20" s="61" t="str">
        <f t="array" ref="BC20">IF($B20="","",IF(IFERROR(INDEX('02_DS_Nhan_Viec'!$J:$J,MATCH($B20,'02_DS_Nhan_Viec'!$B:$B,0)),"")="","Đang theo dõi",IF(OR(IFERROR(INDEX('05_Theo_Doi_Gio_Cong_7_Ngay'!$R:$R,MATCH(IFERROR(INDEX('02_DS_Nhan_Viec'!$J:$J,MATCH($B20,'02_DS_Nhan_Viec'!$B:$B,0)),""),'05_Theo_Doi_Gio_Cong_7_Ngay'!$B:$B,0)),"")="",IFERROR(INDEX('05_Theo_Doi_Gio_Cong_7_Ngay'!$R:$R,MATCH(IFERROR(INDEX('02_DS_Nhan_Viec'!$J:$J,MATCH($B20,'02_DS_Nhan_Viec'!$B:$B,0)),""),'05_Theo_Doi_Gio_Cong_7_Ngay'!$B:$B,0)),0)=0),"Đang theo dõi",IFERROR(INDEX('06_DS_Chinh_Thuc'!$K:$K,MATCH(IFERROR(INDEX('05_Theo_Doi_Gio_Cong_7_Ngay'!$R:$R,MATCH(IFERROR(INDEX('02_DS_Nhan_Viec'!$J:$J,MATCH($B20,'02_DS_Nhan_Viec'!$B:$B,0)),""),'05_Theo_Doi_Gio_Cong_7_Ngay'!$B:$B,0)),0),'06_DS_Chinh_Thuc'!$B:$B,0)),"Đang theo dõi"))))</f>
        <v>Đang theo dõi</v>
      </c>
    </row>
    <row r="21" ht="27" customHeight="1" spans="1:55" x14ac:dyDescent="0.25">
      <c r="A21" s="52">
        <f t="shared" si="0"/>
        <v>20</v>
      </c>
      <c r="B21" s="52" t="str">
        <f t="shared" si="1"/>
        <v>UV0826-010</v>
      </c>
      <c r="C21" s="53">
        <v>46245</v>
      </c>
      <c r="D21" s="54" t="s">
        <v>213</v>
      </c>
      <c r="E21" s="55" t="s">
        <v>214</v>
      </c>
      <c r="F21" s="56" t="s">
        <v>144</v>
      </c>
      <c r="G21" s="56">
        <v>1999</v>
      </c>
      <c r="H21" s="56"/>
      <c r="I21" s="54"/>
      <c r="J21" s="57" t="s">
        <v>215</v>
      </c>
      <c r="K21" s="53"/>
      <c r="L21" s="54"/>
      <c r="M21" s="54" t="s">
        <v>216</v>
      </c>
      <c r="N21" s="54" t="s">
        <v>216</v>
      </c>
      <c r="O21" s="55"/>
      <c r="P21" s="54" t="s">
        <v>217</v>
      </c>
      <c r="Q21" s="58" t="s">
        <v>218</v>
      </c>
      <c r="R21" s="54"/>
      <c r="S21" s="54"/>
      <c r="T21" s="59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6"/>
      <c r="AH21" s="56"/>
      <c r="AI21" s="54"/>
      <c r="AJ21" s="54"/>
      <c r="AK21" s="54"/>
      <c r="AL21" s="56"/>
      <c r="AM21" s="56"/>
      <c r="AN21" s="54"/>
      <c r="AO21" s="56"/>
      <c r="AP21" s="54"/>
      <c r="AQ21" s="56"/>
      <c r="AR21" s="54"/>
      <c r="AS21" s="54"/>
      <c r="AT21" s="54"/>
      <c r="AU21" s="59">
        <f t="shared" si="2"/>
        <v>14</v>
      </c>
      <c r="AV21" s="54" t="s">
        <v>138</v>
      </c>
      <c r="AW21" s="54" t="s">
        <v>139</v>
      </c>
      <c r="AX21" s="59"/>
      <c r="AY21" s="59">
        <v>46245</v>
      </c>
      <c r="AZ21" s="59"/>
      <c r="BA21" s="60">
        <f>IFERROR(VLOOKUP(B21,'02_DS_Nhan_Viec'!B:L,5,0),"")</f>
      </c>
      <c r="BB21" s="54"/>
      <c r="BC21" s="61" t="str">
        <f t="array" ref="BC21">IF($B21="","",IF(IFERROR(INDEX('02_DS_Nhan_Viec'!$J:$J,MATCH($B21,'02_DS_Nhan_Viec'!$B:$B,0)),"")="","Đang theo dõi",IF(OR(IFERROR(INDEX('05_Theo_Doi_Gio_Cong_7_Ngay'!$R:$R,MATCH(IFERROR(INDEX('02_DS_Nhan_Viec'!$J:$J,MATCH($B21,'02_DS_Nhan_Viec'!$B:$B,0)),""),'05_Theo_Doi_Gio_Cong_7_Ngay'!$B:$B,0)),"")="",IFERROR(INDEX('05_Theo_Doi_Gio_Cong_7_Ngay'!$R:$R,MATCH(IFERROR(INDEX('02_DS_Nhan_Viec'!$J:$J,MATCH($B21,'02_DS_Nhan_Viec'!$B:$B,0)),""),'05_Theo_Doi_Gio_Cong_7_Ngay'!$B:$B,0)),0)=0),"Đang theo dõi",IFERROR(INDEX('06_DS_Chinh_Thuc'!$K:$K,MATCH(IFERROR(INDEX('05_Theo_Doi_Gio_Cong_7_Ngay'!$R:$R,MATCH(IFERROR(INDEX('02_DS_Nhan_Viec'!$J:$J,MATCH($B21,'02_DS_Nhan_Viec'!$B:$B,0)),""),'05_Theo_Doi_Gio_Cong_7_Ngay'!$B:$B,0)),0),'06_DS_Chinh_Thuc'!$B:$B,0)),"Đang theo dõi"))))</f>
        <v>Đang theo dõi</v>
      </c>
    </row>
    <row r="22" ht="40.5" customHeight="1" spans="1:55" x14ac:dyDescent="0.25">
      <c r="A22" s="52">
        <f t="shared" si="0"/>
        <v>21</v>
      </c>
      <c r="B22" s="52" t="str">
        <f t="shared" si="1"/>
        <v>UV0826-011</v>
      </c>
      <c r="C22" s="53">
        <v>46246</v>
      </c>
      <c r="D22" s="54" t="s">
        <v>219</v>
      </c>
      <c r="E22" s="55" t="s">
        <v>220</v>
      </c>
      <c r="F22" s="56" t="s">
        <v>136</v>
      </c>
      <c r="G22" s="56">
        <v>2008</v>
      </c>
      <c r="H22" s="56"/>
      <c r="I22" s="54"/>
      <c r="J22" s="57" t="s">
        <v>221</v>
      </c>
      <c r="K22" s="53">
        <v>44746</v>
      </c>
      <c r="L22" s="54" t="s">
        <v>204</v>
      </c>
      <c r="M22" s="54" t="s">
        <v>145</v>
      </c>
      <c r="N22" s="54" t="s">
        <v>145</v>
      </c>
      <c r="O22" s="55"/>
      <c r="P22" s="54" t="s">
        <v>222</v>
      </c>
      <c r="Q22" s="58" t="s">
        <v>223</v>
      </c>
      <c r="R22" s="54"/>
      <c r="S22" s="54"/>
      <c r="T22" s="59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6"/>
      <c r="AH22" s="56"/>
      <c r="AI22" s="54"/>
      <c r="AJ22" s="54"/>
      <c r="AK22" s="54"/>
      <c r="AL22" s="56"/>
      <c r="AM22" s="56"/>
      <c r="AN22" s="54"/>
      <c r="AO22" s="56"/>
      <c r="AP22" s="54"/>
      <c r="AQ22" s="56"/>
      <c r="AR22" s="54"/>
      <c r="AS22" s="54"/>
      <c r="AT22" s="54"/>
      <c r="AU22" s="59">
        <f t="shared" si="2"/>
        <v>14</v>
      </c>
      <c r="AV22" s="54" t="s">
        <v>138</v>
      </c>
      <c r="AW22" s="54" t="s">
        <v>139</v>
      </c>
      <c r="AX22" s="59"/>
      <c r="AY22" s="59">
        <v>46246</v>
      </c>
      <c r="AZ22" s="59"/>
      <c r="BA22" s="60">
        <f>IFERROR(VLOOKUP(B22,'02_DS_Nhan_Viec'!B:L,5,0),"")</f>
      </c>
      <c r="BB22" s="54"/>
      <c r="BC22" s="61" t="str">
        <f t="array" ref="BC22">IF($B22="","",IF(IFERROR(INDEX('02_DS_Nhan_Viec'!$J:$J,MATCH($B22,'02_DS_Nhan_Viec'!$B:$B,0)),"")="","Đang theo dõi",IF(OR(IFERROR(INDEX('05_Theo_Doi_Gio_Cong_7_Ngay'!$R:$R,MATCH(IFERROR(INDEX('02_DS_Nhan_Viec'!$J:$J,MATCH($B22,'02_DS_Nhan_Viec'!$B:$B,0)),""),'05_Theo_Doi_Gio_Cong_7_Ngay'!$B:$B,0)),"")="",IFERROR(INDEX('05_Theo_Doi_Gio_Cong_7_Ngay'!$R:$R,MATCH(IFERROR(INDEX('02_DS_Nhan_Viec'!$J:$J,MATCH($B22,'02_DS_Nhan_Viec'!$B:$B,0)),""),'05_Theo_Doi_Gio_Cong_7_Ngay'!$B:$B,0)),0)=0),"Đang theo dõi",IFERROR(INDEX('06_DS_Chinh_Thuc'!$K:$K,MATCH(IFERROR(INDEX('05_Theo_Doi_Gio_Cong_7_Ngay'!$R:$R,MATCH(IFERROR(INDEX('02_DS_Nhan_Viec'!$J:$J,MATCH($B22,'02_DS_Nhan_Viec'!$B:$B,0)),""),'05_Theo_Doi_Gio_Cong_7_Ngay'!$B:$B,0)),0),'06_DS_Chinh_Thuc'!$B:$B,0)),"Đang theo dõi"))))</f>
        <v>Đang theo dõi</v>
      </c>
    </row>
    <row r="23" ht="54" customHeight="1" spans="1:55" x14ac:dyDescent="0.25">
      <c r="A23" s="52">
        <f t="shared" si="0"/>
        <v>22</v>
      </c>
      <c r="B23" s="52" t="str">
        <f t="shared" si="1"/>
        <v>UV0826-012</v>
      </c>
      <c r="C23" s="53">
        <v>46252</v>
      </c>
      <c r="D23" s="54" t="s">
        <v>224</v>
      </c>
      <c r="E23" s="55" t="s">
        <v>225</v>
      </c>
      <c r="F23" s="56" t="s">
        <v>144</v>
      </c>
      <c r="G23" s="56">
        <v>1983</v>
      </c>
      <c r="H23" s="56"/>
      <c r="I23" s="54"/>
      <c r="J23" s="57" t="s">
        <v>226</v>
      </c>
      <c r="K23" s="53">
        <v>45117</v>
      </c>
      <c r="L23" s="54" t="s">
        <v>204</v>
      </c>
      <c r="M23" s="54" t="s">
        <v>227</v>
      </c>
      <c r="N23" s="54" t="s">
        <v>227</v>
      </c>
      <c r="O23" s="55"/>
      <c r="P23" s="54" t="s">
        <v>228</v>
      </c>
      <c r="Q23" s="58" t="s">
        <v>229</v>
      </c>
      <c r="R23" s="54" t="s">
        <v>230</v>
      </c>
      <c r="S23" s="54"/>
      <c r="T23" s="59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6"/>
      <c r="AH23" s="56"/>
      <c r="AI23" s="54"/>
      <c r="AJ23" s="54"/>
      <c r="AK23" s="54"/>
      <c r="AL23" s="56"/>
      <c r="AM23" s="56"/>
      <c r="AN23" s="54"/>
      <c r="AO23" s="56"/>
      <c r="AP23" s="54"/>
      <c r="AQ23" s="56"/>
      <c r="AR23" s="54"/>
      <c r="AS23" s="54"/>
      <c r="AT23" s="54"/>
      <c r="AU23" s="59">
        <f t="shared" si="2"/>
        <v>46266</v>
      </c>
      <c r="AV23" s="54" t="s">
        <v>138</v>
      </c>
      <c r="AW23" s="54" t="s">
        <v>139</v>
      </c>
      <c r="AX23" s="59"/>
      <c r="AY23" s="59">
        <v>46252</v>
      </c>
      <c r="AZ23" s="59">
        <v>46252</v>
      </c>
      <c r="BA23" s="60" t="str">
        <f>IFERROR(VLOOKUP(B23,'02_DS_Nhan_Viec'!B:L,5,0),"")</f>
        <v>✅ Đã nhận việc - Đúng hẹn</v>
      </c>
      <c r="BB23" s="54" t="s">
        <v>231</v>
      </c>
      <c r="BC23" s="61" t="str">
        <f t="array" ref="BC23">IF($B23="","",IF(IFERROR(INDEX('02_DS_Nhan_Viec'!$J:$J,MATCH($B23,'02_DS_Nhan_Viec'!$B:$B,0)),"")="","Đang theo dõi",IF(OR(IFERROR(INDEX('05_Theo_Doi_Gio_Cong_7_Ngay'!$R:$R,MATCH(IFERROR(INDEX('02_DS_Nhan_Viec'!$J:$J,MATCH($B23,'02_DS_Nhan_Viec'!$B:$B,0)),""),'05_Theo_Doi_Gio_Cong_7_Ngay'!$B:$B,0)),"")="",IFERROR(INDEX('05_Theo_Doi_Gio_Cong_7_Ngay'!$R:$R,MATCH(IFERROR(INDEX('02_DS_Nhan_Viec'!$J:$J,MATCH($B23,'02_DS_Nhan_Viec'!$B:$B,0)),""),'05_Theo_Doi_Gio_Cong_7_Ngay'!$B:$B,0)),0)=0),"Đang theo dõi",IFERROR(INDEX('06_DS_Chinh_Thuc'!$K:$K,MATCH(IFERROR(INDEX('05_Theo_Doi_Gio_Cong_7_Ngay'!$R:$R,MATCH(IFERROR(INDEX('02_DS_Nhan_Viec'!$J:$J,MATCH($B23,'02_DS_Nhan_Viec'!$B:$B,0)),""),'05_Theo_Doi_Gio_Cong_7_Ngay'!$B:$B,0)),0),'06_DS_Chinh_Thuc'!$B:$B,0)),"Đang theo dõi"))))</f>
        <v>Đang theo dõi</v>
      </c>
    </row>
    <row r="24" ht="54" customHeight="1" spans="1:55" x14ac:dyDescent="0.25">
      <c r="A24" s="52">
        <f t="shared" si="0"/>
        <v>23</v>
      </c>
      <c r="B24" s="52" t="str">
        <f t="shared" si="1"/>
        <v>UV0826-013</v>
      </c>
      <c r="C24" s="53">
        <v>46252</v>
      </c>
      <c r="D24" s="54" t="s">
        <v>232</v>
      </c>
      <c r="E24" s="55" t="s">
        <v>233</v>
      </c>
      <c r="F24" s="56" t="s">
        <v>136</v>
      </c>
      <c r="G24" s="56">
        <v>1977</v>
      </c>
      <c r="H24" s="56"/>
      <c r="I24" s="54"/>
      <c r="J24" s="57" t="s">
        <v>234</v>
      </c>
      <c r="K24" s="53">
        <v>46294</v>
      </c>
      <c r="L24" s="54" t="s">
        <v>235</v>
      </c>
      <c r="M24" s="54" t="s">
        <v>227</v>
      </c>
      <c r="N24" s="54" t="s">
        <v>227</v>
      </c>
      <c r="O24" s="55"/>
      <c r="P24" s="54" t="s">
        <v>228</v>
      </c>
      <c r="Q24" s="58" t="s">
        <v>229</v>
      </c>
      <c r="R24" s="54" t="s">
        <v>167</v>
      </c>
      <c r="S24" s="54"/>
      <c r="T24" s="59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6"/>
      <c r="AH24" s="56"/>
      <c r="AI24" s="54"/>
      <c r="AJ24" s="54"/>
      <c r="AK24" s="54"/>
      <c r="AL24" s="56"/>
      <c r="AM24" s="56"/>
      <c r="AN24" s="54"/>
      <c r="AO24" s="56"/>
      <c r="AP24" s="54"/>
      <c r="AQ24" s="56"/>
      <c r="AR24" s="54"/>
      <c r="AS24" s="54"/>
      <c r="AT24" s="54"/>
      <c r="AU24" s="59">
        <f t="shared" si="2"/>
        <v>46266</v>
      </c>
      <c r="AV24" s="54" t="s">
        <v>138</v>
      </c>
      <c r="AW24" s="54" t="s">
        <v>139</v>
      </c>
      <c r="AX24" s="59"/>
      <c r="AY24" s="59">
        <v>46252</v>
      </c>
      <c r="AZ24" s="59">
        <v>46252</v>
      </c>
      <c r="BA24" s="60" t="str">
        <f>IFERROR(VLOOKUP(B24,'02_DS_Nhan_Viec'!B:L,5,0),"")</f>
        <v>✅ Đã nhận việc - Đúng hẹn</v>
      </c>
      <c r="BB24" s="54" t="s">
        <v>231</v>
      </c>
      <c r="BC24" s="61" t="str">
        <f t="array" ref="BC24">IF($B24="","",IF(IFERROR(INDEX('02_DS_Nhan_Viec'!$J:$J,MATCH($B24,'02_DS_Nhan_Viec'!$B:$B,0)),"")="","Đang theo dõi",IF(OR(IFERROR(INDEX('05_Theo_Doi_Gio_Cong_7_Ngay'!$R:$R,MATCH(IFERROR(INDEX('02_DS_Nhan_Viec'!$J:$J,MATCH($B24,'02_DS_Nhan_Viec'!$B:$B,0)),""),'05_Theo_Doi_Gio_Cong_7_Ngay'!$B:$B,0)),"")="",IFERROR(INDEX('05_Theo_Doi_Gio_Cong_7_Ngay'!$R:$R,MATCH(IFERROR(INDEX('02_DS_Nhan_Viec'!$J:$J,MATCH($B24,'02_DS_Nhan_Viec'!$B:$B,0)),""),'05_Theo_Doi_Gio_Cong_7_Ngay'!$B:$B,0)),0)=0),"Đang theo dõi",IFERROR(INDEX('06_DS_Chinh_Thuc'!$K:$K,MATCH(IFERROR(INDEX('05_Theo_Doi_Gio_Cong_7_Ngay'!$R:$R,MATCH(IFERROR(INDEX('02_DS_Nhan_Viec'!$J:$J,MATCH($B24,'02_DS_Nhan_Viec'!$B:$B,0)),""),'05_Theo_Doi_Gio_Cong_7_Ngay'!$B:$B,0)),0),'06_DS_Chinh_Thuc'!$B:$B,0)),"Đang theo dõi"))))</f>
        <v>Đang theo dõi</v>
      </c>
    </row>
    <row r="25" ht="27" customHeight="1" spans="1:55" x14ac:dyDescent="0.25">
      <c r="A25" s="52">
        <f t="shared" si="0"/>
        <v>24</v>
      </c>
      <c r="B25" s="52" t="str">
        <f t="shared" si="1"/>
        <v>UV0826-014</v>
      </c>
      <c r="C25" s="53">
        <v>46255</v>
      </c>
      <c r="D25" s="54" t="s">
        <v>43</v>
      </c>
      <c r="E25" s="55" t="s">
        <v>236</v>
      </c>
      <c r="F25" s="56" t="s">
        <v>144</v>
      </c>
      <c r="G25" s="56">
        <v>1982</v>
      </c>
      <c r="H25" s="56"/>
      <c r="I25" s="54"/>
      <c r="J25" s="57"/>
      <c r="K25" s="53"/>
      <c r="L25" s="54"/>
      <c r="M25" s="54" t="s">
        <v>237</v>
      </c>
      <c r="N25" s="54" t="s">
        <v>237</v>
      </c>
      <c r="O25" s="55" t="s">
        <v>238</v>
      </c>
      <c r="P25" s="54" t="s">
        <v>239</v>
      </c>
      <c r="Q25" s="58" t="s">
        <v>240</v>
      </c>
      <c r="R25" s="54" t="s">
        <v>241</v>
      </c>
      <c r="S25" s="54"/>
      <c r="T25" s="59"/>
      <c r="U25" s="54"/>
      <c r="V25" s="54"/>
      <c r="W25" s="54"/>
      <c r="X25" s="54" t="s">
        <v>242</v>
      </c>
      <c r="Y25" s="54"/>
      <c r="Z25" s="54" t="s">
        <v>243</v>
      </c>
      <c r="AA25" s="54" t="s">
        <v>244</v>
      </c>
      <c r="AB25" s="54"/>
      <c r="AC25" s="54" t="s">
        <v>245</v>
      </c>
      <c r="AD25" s="54"/>
      <c r="AE25" s="54"/>
      <c r="AF25" s="54" t="s">
        <v>246</v>
      </c>
      <c r="AG25" s="56"/>
      <c r="AH25" s="56"/>
      <c r="AI25" s="54"/>
      <c r="AJ25" s="54"/>
      <c r="AK25" s="54"/>
      <c r="AL25" s="56"/>
      <c r="AM25" s="56"/>
      <c r="AN25" s="54"/>
      <c r="AO25" s="56"/>
      <c r="AP25" s="54"/>
      <c r="AQ25" s="56"/>
      <c r="AR25" s="54"/>
      <c r="AS25" s="54"/>
      <c r="AT25" s="54"/>
      <c r="AU25" s="59">
        <f t="shared" si="2"/>
        <v>46270</v>
      </c>
      <c r="AV25" s="54" t="s">
        <v>138</v>
      </c>
      <c r="AW25" s="54" t="s">
        <v>247</v>
      </c>
      <c r="AX25" s="59"/>
      <c r="AY25" s="59">
        <v>46255</v>
      </c>
      <c r="AZ25" s="59">
        <v>46256</v>
      </c>
      <c r="BA25" s="60" t="str">
        <f>IFERROR(VLOOKUP(B25,'02_DS_Nhan_Viec'!B:L,5,0),"")</f>
        <v>✅ Đã nhận việc - Đúng hẹn</v>
      </c>
      <c r="BB25" s="54"/>
      <c r="BC25" s="61" t="str">
        <f t="array" ref="BC25">IF($B25="","",IF(IFERROR(INDEX('02_DS_Nhan_Viec'!$J:$J,MATCH($B25,'02_DS_Nhan_Viec'!$B:$B,0)),"")="","Đang theo dõi",IF(OR(IFERROR(INDEX('05_Theo_Doi_Gio_Cong_7_Ngay'!$R:$R,MATCH(IFERROR(INDEX('02_DS_Nhan_Viec'!$J:$J,MATCH($B25,'02_DS_Nhan_Viec'!$B:$B,0)),""),'05_Theo_Doi_Gio_Cong_7_Ngay'!$B:$B,0)),"")="",IFERROR(INDEX('05_Theo_Doi_Gio_Cong_7_Ngay'!$R:$R,MATCH(IFERROR(INDEX('02_DS_Nhan_Viec'!$J:$J,MATCH($B25,'02_DS_Nhan_Viec'!$B:$B,0)),""),'05_Theo_Doi_Gio_Cong_7_Ngay'!$B:$B,0)),0)=0),"Đang theo dõi",IFERROR(INDEX('06_DS_Chinh_Thuc'!$K:$K,MATCH(IFERROR(INDEX('05_Theo_Doi_Gio_Cong_7_Ngay'!$R:$R,MATCH(IFERROR(INDEX('02_DS_Nhan_Viec'!$J:$J,MATCH($B25,'02_DS_Nhan_Viec'!$B:$B,0)),""),'05_Theo_Doi_Gio_Cong_7_Ngay'!$B:$B,0)),0),'06_DS_Chinh_Thuc'!$B:$B,0)),"Đang theo dõi"))))</f>
        <v>Đã nghỉ</v>
      </c>
    </row>
    <row r="26" ht="54" customHeight="1" spans="1:55" x14ac:dyDescent="0.25">
      <c r="A26" s="52">
        <f t="shared" si="0"/>
        <v>25</v>
      </c>
      <c r="B26" s="52" t="str">
        <f t="shared" si="1"/>
        <v>UV0826-015</v>
      </c>
      <c r="C26" s="53">
        <v>46255</v>
      </c>
      <c r="D26" s="54" t="s">
        <v>47</v>
      </c>
      <c r="E26" s="55" t="s">
        <v>248</v>
      </c>
      <c r="F26" s="56" t="s">
        <v>144</v>
      </c>
      <c r="G26" s="56">
        <v>2003</v>
      </c>
      <c r="H26" s="56"/>
      <c r="I26" s="54"/>
      <c r="J26" s="57"/>
      <c r="K26" s="53"/>
      <c r="L26" s="54"/>
      <c r="M26" s="54" t="s">
        <v>249</v>
      </c>
      <c r="N26" s="54" t="s">
        <v>211</v>
      </c>
      <c r="O26" s="55" t="s">
        <v>250</v>
      </c>
      <c r="P26" s="54" t="s">
        <v>251</v>
      </c>
      <c r="Q26" s="58" t="s">
        <v>252</v>
      </c>
      <c r="R26" s="54" t="s">
        <v>253</v>
      </c>
      <c r="S26" s="54"/>
      <c r="T26" s="59"/>
      <c r="U26" s="54"/>
      <c r="V26" s="54" t="s">
        <v>254</v>
      </c>
      <c r="W26" s="54" t="s">
        <v>255</v>
      </c>
      <c r="X26" s="54"/>
      <c r="Y26" s="54"/>
      <c r="Z26" s="54" t="s">
        <v>256</v>
      </c>
      <c r="AA26" s="54" t="s">
        <v>257</v>
      </c>
      <c r="AB26" s="54"/>
      <c r="AC26" s="54" t="s">
        <v>258</v>
      </c>
      <c r="AD26" s="54"/>
      <c r="AE26" s="54"/>
      <c r="AF26" s="54" t="s">
        <v>259</v>
      </c>
      <c r="AG26" s="56"/>
      <c r="AH26" s="56"/>
      <c r="AI26" s="54"/>
      <c r="AJ26" s="54"/>
      <c r="AK26" s="54"/>
      <c r="AL26" s="56"/>
      <c r="AM26" s="56"/>
      <c r="AN26" s="54" t="s">
        <v>260</v>
      </c>
      <c r="AO26" s="56">
        <v>1</v>
      </c>
      <c r="AP26" s="54" t="s">
        <v>261</v>
      </c>
      <c r="AQ26" s="56"/>
      <c r="AR26" s="54"/>
      <c r="AS26" s="54"/>
      <c r="AT26" s="54"/>
      <c r="AU26" s="59">
        <f t="shared" si="2"/>
        <v>46270</v>
      </c>
      <c r="AV26" s="54" t="s">
        <v>138</v>
      </c>
      <c r="AW26" s="54" t="s">
        <v>139</v>
      </c>
      <c r="AX26" s="59"/>
      <c r="AY26" s="59">
        <v>46255</v>
      </c>
      <c r="AZ26" s="59">
        <v>46256</v>
      </c>
      <c r="BA26" s="60" t="str">
        <f>IFERROR(VLOOKUP(B26,'02_DS_Nhan_Viec'!B:L,5,0),"")</f>
        <v>✅ Đã nhận việc - Đúng hẹn</v>
      </c>
      <c r="BB26" s="54"/>
      <c r="BC26" s="61" t="str">
        <f t="array" ref="BC26">IF($B26="","",IF(IFERROR(INDEX('02_DS_Nhan_Viec'!$J:$J,MATCH($B26,'02_DS_Nhan_Viec'!$B:$B,0)),"")="","Đang theo dõi",IF(OR(IFERROR(INDEX('05_Theo_Doi_Gio_Cong_7_Ngay'!$R:$R,MATCH(IFERROR(INDEX('02_DS_Nhan_Viec'!$J:$J,MATCH($B26,'02_DS_Nhan_Viec'!$B:$B,0)),""),'05_Theo_Doi_Gio_Cong_7_Ngay'!$B:$B,0)),"")="",IFERROR(INDEX('05_Theo_Doi_Gio_Cong_7_Ngay'!$R:$R,MATCH(IFERROR(INDEX('02_DS_Nhan_Viec'!$J:$J,MATCH($B26,'02_DS_Nhan_Viec'!$B:$B,0)),""),'05_Theo_Doi_Gio_Cong_7_Ngay'!$B:$B,0)),0)=0),"Đang theo dõi",IFERROR(INDEX('06_DS_Chinh_Thuc'!$K:$K,MATCH(IFERROR(INDEX('05_Theo_Doi_Gio_Cong_7_Ngay'!$R:$R,MATCH(IFERROR(INDEX('02_DS_Nhan_Viec'!$J:$J,MATCH($B26,'02_DS_Nhan_Viec'!$B:$B,0)),""),'05_Theo_Doi_Gio_Cong_7_Ngay'!$B:$B,0)),0),'06_DS_Chinh_Thuc'!$B:$B,0)),"Đang theo dõi"))))</f>
        <v>Đang làm</v>
      </c>
    </row>
    <row r="27" ht="40.5" customHeight="1" spans="1:55" x14ac:dyDescent="0.25">
      <c r="A27" s="52">
        <f t="shared" si="0"/>
        <v>26</v>
      </c>
      <c r="B27" s="52" t="str">
        <f t="shared" si="1"/>
        <v>UV0826-016</v>
      </c>
      <c r="C27" s="53">
        <v>46255</v>
      </c>
      <c r="D27" s="54" t="s">
        <v>76</v>
      </c>
      <c r="E27" s="55" t="s">
        <v>262</v>
      </c>
      <c r="F27" s="56" t="s">
        <v>144</v>
      </c>
      <c r="G27" s="56">
        <v>2009</v>
      </c>
      <c r="H27" s="56" t="s">
        <v>263</v>
      </c>
      <c r="I27" s="54"/>
      <c r="J27" s="57" t="s">
        <v>264</v>
      </c>
      <c r="K27" s="53">
        <v>46050</v>
      </c>
      <c r="L27" s="54" t="s">
        <v>170</v>
      </c>
      <c r="M27" s="54" t="s">
        <v>265</v>
      </c>
      <c r="N27" s="54" t="s">
        <v>211</v>
      </c>
      <c r="O27" s="55" t="s">
        <v>266</v>
      </c>
      <c r="P27" s="54" t="s">
        <v>251</v>
      </c>
      <c r="Q27" s="58" t="s">
        <v>252</v>
      </c>
      <c r="R27" s="54" t="s">
        <v>267</v>
      </c>
      <c r="S27" s="54"/>
      <c r="T27" s="59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6"/>
      <c r="AH27" s="56"/>
      <c r="AI27" s="54"/>
      <c r="AJ27" s="54"/>
      <c r="AK27" s="54"/>
      <c r="AL27" s="56"/>
      <c r="AM27" s="56"/>
      <c r="AN27" s="54" t="s">
        <v>268</v>
      </c>
      <c r="AO27" s="56">
        <v>1</v>
      </c>
      <c r="AP27" s="54" t="s">
        <v>261</v>
      </c>
      <c r="AQ27" s="56"/>
      <c r="AR27" s="54"/>
      <c r="AS27" s="54"/>
      <c r="AT27" s="54"/>
      <c r="AU27" s="59">
        <f t="shared" si="2"/>
        <v>46270</v>
      </c>
      <c r="AV27" s="54" t="s">
        <v>138</v>
      </c>
      <c r="AW27" s="54" t="s">
        <v>139</v>
      </c>
      <c r="AX27" s="59"/>
      <c r="AY27" s="59">
        <v>46255</v>
      </c>
      <c r="AZ27" s="59">
        <v>46256</v>
      </c>
      <c r="BA27" s="60" t="str">
        <f>IFERROR(VLOOKUP(B27,'02_DS_Nhan_Viec'!B:L,5,0),"")</f>
        <v>✅ Đã nhận việc - Đúng hẹn</v>
      </c>
      <c r="BB27" s="54"/>
      <c r="BC27" s="61" t="str">
        <f t="array" ref="BC27">IF($B27="","",IF(IFERROR(INDEX('02_DS_Nhan_Viec'!$J:$J,MATCH($B27,'02_DS_Nhan_Viec'!$B:$B,0)),"")="","Đang theo dõi",IF(OR(IFERROR(INDEX('05_Theo_Doi_Gio_Cong_7_Ngay'!$R:$R,MATCH(IFERROR(INDEX('02_DS_Nhan_Viec'!$J:$J,MATCH($B27,'02_DS_Nhan_Viec'!$B:$B,0)),""),'05_Theo_Doi_Gio_Cong_7_Ngay'!$B:$B,0)),"")="",IFERROR(INDEX('05_Theo_Doi_Gio_Cong_7_Ngay'!$R:$R,MATCH(IFERROR(INDEX('02_DS_Nhan_Viec'!$J:$J,MATCH($B27,'02_DS_Nhan_Viec'!$B:$B,0)),""),'05_Theo_Doi_Gio_Cong_7_Ngay'!$B:$B,0)),0)=0),"Đang theo dõi",IFERROR(INDEX('06_DS_Chinh_Thuc'!$K:$K,MATCH(IFERROR(INDEX('05_Theo_Doi_Gio_Cong_7_Ngay'!$R:$R,MATCH(IFERROR(INDEX('02_DS_Nhan_Viec'!$J:$J,MATCH($B27,'02_DS_Nhan_Viec'!$B:$B,0)),""),'05_Theo_Doi_Gio_Cong_7_Ngay'!$B:$B,0)),0),'06_DS_Chinh_Thuc'!$B:$B,0)),"Đang theo dõi"))))</f>
        <v>Đang theo dõi</v>
      </c>
    </row>
    <row r="28" ht="27" customHeight="1" spans="1:55" x14ac:dyDescent="0.25">
      <c r="A28" s="52">
        <f t="shared" si="0"/>
        <v>27</v>
      </c>
      <c r="B28" s="52" t="str">
        <f t="shared" si="1"/>
        <v>UV0826-017</v>
      </c>
      <c r="C28" s="53">
        <v>46255</v>
      </c>
      <c r="D28" s="54" t="s">
        <v>269</v>
      </c>
      <c r="E28" s="55" t="s">
        <v>270</v>
      </c>
      <c r="F28" s="56" t="s">
        <v>136</v>
      </c>
      <c r="G28" s="56">
        <v>2015</v>
      </c>
      <c r="H28" s="56" t="s">
        <v>263</v>
      </c>
      <c r="I28" s="54"/>
      <c r="J28" s="57"/>
      <c r="K28" s="53"/>
      <c r="L28" s="54"/>
      <c r="M28" s="54" t="s">
        <v>211</v>
      </c>
      <c r="N28" s="54"/>
      <c r="O28" s="55"/>
      <c r="P28" s="54" t="s">
        <v>251</v>
      </c>
      <c r="Q28" s="58" t="s">
        <v>252</v>
      </c>
      <c r="R28" s="54" t="s">
        <v>271</v>
      </c>
      <c r="S28" s="54"/>
      <c r="T28" s="59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6"/>
      <c r="AH28" s="56"/>
      <c r="AI28" s="54"/>
      <c r="AJ28" s="54"/>
      <c r="AK28" s="54"/>
      <c r="AL28" s="56"/>
      <c r="AM28" s="56"/>
      <c r="AN28" s="54" t="s">
        <v>268</v>
      </c>
      <c r="AO28" s="56">
        <v>1</v>
      </c>
      <c r="AP28" s="54" t="s">
        <v>261</v>
      </c>
      <c r="AQ28" s="56"/>
      <c r="AR28" s="54"/>
      <c r="AS28" s="54"/>
      <c r="AT28" s="54"/>
      <c r="AU28" s="59">
        <f t="shared" si="2"/>
        <v>46270</v>
      </c>
      <c r="AV28" s="54" t="s">
        <v>138</v>
      </c>
      <c r="AW28" s="54" t="s">
        <v>139</v>
      </c>
      <c r="AX28" s="59"/>
      <c r="AY28" s="59">
        <v>46255</v>
      </c>
      <c r="AZ28" s="59">
        <v>46256</v>
      </c>
      <c r="BA28" s="60" t="str">
        <f>IFERROR(VLOOKUP(B28,'02_DS_Nhan_Viec'!B:L,5,0),"")</f>
        <v>✅ Đã nhận việc - Đúng hẹn</v>
      </c>
      <c r="BB28" s="54"/>
      <c r="BC28" s="61" t="str">
        <f t="array" ref="BC28">IF($B28="","",IF(IFERROR(INDEX('02_DS_Nhan_Viec'!$J:$J,MATCH($B28,'02_DS_Nhan_Viec'!$B:$B,0)),"")="","Đang theo dõi",IF(OR(IFERROR(INDEX('05_Theo_Doi_Gio_Cong_7_Ngay'!$R:$R,MATCH(IFERROR(INDEX('02_DS_Nhan_Viec'!$J:$J,MATCH($B28,'02_DS_Nhan_Viec'!$B:$B,0)),""),'05_Theo_Doi_Gio_Cong_7_Ngay'!$B:$B,0)),"")="",IFERROR(INDEX('05_Theo_Doi_Gio_Cong_7_Ngay'!$R:$R,MATCH(IFERROR(INDEX('02_DS_Nhan_Viec'!$J:$J,MATCH($B28,'02_DS_Nhan_Viec'!$B:$B,0)),""),'05_Theo_Doi_Gio_Cong_7_Ngay'!$B:$B,0)),0)=0),"Đang theo dõi",IFERROR(INDEX('06_DS_Chinh_Thuc'!$K:$K,MATCH(IFERROR(INDEX('05_Theo_Doi_Gio_Cong_7_Ngay'!$R:$R,MATCH(IFERROR(INDEX('02_DS_Nhan_Viec'!$J:$J,MATCH($B28,'02_DS_Nhan_Viec'!$B:$B,0)),""),'05_Theo_Doi_Gio_Cong_7_Ngay'!$B:$B,0)),0),'06_DS_Chinh_Thuc'!$B:$B,0)),"Đang theo dõi"))))</f>
        <v>Đang theo dõi</v>
      </c>
    </row>
    <row r="29" ht="40.5" customHeight="1" spans="1:55" x14ac:dyDescent="0.25">
      <c r="A29" s="52">
        <f t="shared" si="0"/>
        <v>28</v>
      </c>
      <c r="B29" s="52" t="str">
        <f t="shared" si="1"/>
        <v>UV0826-018</v>
      </c>
      <c r="C29" s="53">
        <v>46255</v>
      </c>
      <c r="D29" s="54" t="s">
        <v>272</v>
      </c>
      <c r="E29" s="55" t="s">
        <v>273</v>
      </c>
      <c r="F29" s="56" t="s">
        <v>136</v>
      </c>
      <c r="G29" s="56">
        <v>2005</v>
      </c>
      <c r="H29" s="56" t="s">
        <v>263</v>
      </c>
      <c r="I29" s="54" t="s">
        <v>274</v>
      </c>
      <c r="J29" s="57" t="s">
        <v>275</v>
      </c>
      <c r="K29" s="53">
        <v>44446</v>
      </c>
      <c r="L29" s="54" t="s">
        <v>175</v>
      </c>
      <c r="M29" s="54" t="s">
        <v>180</v>
      </c>
      <c r="N29" s="54" t="s">
        <v>276</v>
      </c>
      <c r="O29" s="55" t="s">
        <v>266</v>
      </c>
      <c r="P29" s="54" t="s">
        <v>277</v>
      </c>
      <c r="Q29" s="58" t="s">
        <v>278</v>
      </c>
      <c r="R29" s="54" t="s">
        <v>279</v>
      </c>
      <c r="S29" s="54"/>
      <c r="T29" s="59">
        <v>46258</v>
      </c>
      <c r="U29" s="54"/>
      <c r="V29" s="54"/>
      <c r="W29" s="54"/>
      <c r="X29" s="54"/>
      <c r="Y29" s="54"/>
      <c r="Z29" s="54" t="s">
        <v>280</v>
      </c>
      <c r="AA29" s="54" t="s">
        <v>281</v>
      </c>
      <c r="AB29" s="54"/>
      <c r="AC29" s="54" t="s">
        <v>282</v>
      </c>
      <c r="AD29" s="54"/>
      <c r="AE29" s="54"/>
      <c r="AF29" s="54" t="s">
        <v>283</v>
      </c>
      <c r="AG29" s="56"/>
      <c r="AH29" s="56"/>
      <c r="AI29" s="54"/>
      <c r="AJ29" s="54"/>
      <c r="AK29" s="54"/>
      <c r="AL29" s="56"/>
      <c r="AM29" s="56"/>
      <c r="AN29" s="54" t="s">
        <v>268</v>
      </c>
      <c r="AO29" s="56">
        <v>0.5</v>
      </c>
      <c r="AP29" s="54" t="s">
        <v>261</v>
      </c>
      <c r="AQ29" s="56"/>
      <c r="AR29" s="54"/>
      <c r="AS29" s="54"/>
      <c r="AT29" s="54"/>
      <c r="AU29" s="59">
        <f t="shared" si="2"/>
        <v>46272</v>
      </c>
      <c r="AV29" s="54" t="s">
        <v>138</v>
      </c>
      <c r="AW29" s="54" t="s">
        <v>139</v>
      </c>
      <c r="AX29" s="59"/>
      <c r="AY29" s="59">
        <v>46255</v>
      </c>
      <c r="AZ29" s="59">
        <v>46258</v>
      </c>
      <c r="BA29" s="60" t="str">
        <f>IFERROR(VLOOKUP(B29,'02_DS_Nhan_Viec'!B:L,5,0),"")</f>
        <v>❌ Không đến nhận việc (quá hẹn)</v>
      </c>
      <c r="BB29" s="54"/>
      <c r="BC29" s="61" t="str">
        <f t="array" ref="BC29">IF($B29="","",IF(IFERROR(INDEX('02_DS_Nhan_Viec'!$J:$J,MATCH($B29,'02_DS_Nhan_Viec'!$B:$B,0)),"")="","Đang theo dõi",IF(OR(IFERROR(INDEX('05_Theo_Doi_Gio_Cong_7_Ngay'!$R:$R,MATCH(IFERROR(INDEX('02_DS_Nhan_Viec'!$J:$J,MATCH($B29,'02_DS_Nhan_Viec'!$B:$B,0)),""),'05_Theo_Doi_Gio_Cong_7_Ngay'!$B:$B,0)),"")="",IFERROR(INDEX('05_Theo_Doi_Gio_Cong_7_Ngay'!$R:$R,MATCH(IFERROR(INDEX('02_DS_Nhan_Viec'!$J:$J,MATCH($B29,'02_DS_Nhan_Viec'!$B:$B,0)),""),'05_Theo_Doi_Gio_Cong_7_Ngay'!$B:$B,0)),0)=0),"Đang theo dõi",IFERROR(INDEX('06_DS_Chinh_Thuc'!$K:$K,MATCH(IFERROR(INDEX('05_Theo_Doi_Gio_Cong_7_Ngay'!$R:$R,MATCH(IFERROR(INDEX('02_DS_Nhan_Viec'!$J:$J,MATCH($B29,'02_DS_Nhan_Viec'!$B:$B,0)),""),'05_Theo_Doi_Gio_Cong_7_Ngay'!$B:$B,0)),0),'06_DS_Chinh_Thuc'!$B:$B,0)),"Đang theo dõi"))))</f>
        <v>Đang theo dõi</v>
      </c>
    </row>
    <row r="30" ht="40.5" customHeight="1" spans="1:55" x14ac:dyDescent="0.25">
      <c r="A30" s="52">
        <f t="shared" si="0"/>
        <v>29</v>
      </c>
      <c r="B30" s="52" t="str">
        <f t="shared" si="1"/>
        <v>UV0826-019</v>
      </c>
      <c r="C30" s="53">
        <v>46260</v>
      </c>
      <c r="D30" s="54" t="s">
        <v>284</v>
      </c>
      <c r="E30" s="55" t="s">
        <v>285</v>
      </c>
      <c r="F30" s="56" t="s">
        <v>136</v>
      </c>
      <c r="G30" s="56">
        <v>1976</v>
      </c>
      <c r="H30" s="56" t="s">
        <v>263</v>
      </c>
      <c r="I30" s="54" t="s">
        <v>274</v>
      </c>
      <c r="J30" s="57" t="s">
        <v>286</v>
      </c>
      <c r="K30" s="59">
        <v>46237</v>
      </c>
      <c r="L30" s="54" t="s">
        <v>170</v>
      </c>
      <c r="M30" s="54" t="s">
        <v>287</v>
      </c>
      <c r="N30" s="54" t="s">
        <v>287</v>
      </c>
      <c r="O30" s="55"/>
      <c r="P30" s="54" t="s">
        <v>288</v>
      </c>
      <c r="Q30" s="58" t="s">
        <v>289</v>
      </c>
      <c r="R30" s="54" t="s">
        <v>279</v>
      </c>
      <c r="S30" s="54"/>
      <c r="T30" s="59"/>
      <c r="U30" s="54"/>
      <c r="V30" s="54"/>
      <c r="W30" s="54"/>
      <c r="X30" s="54" t="s">
        <v>290</v>
      </c>
      <c r="Y30" s="54"/>
      <c r="Z30" s="54" t="s">
        <v>291</v>
      </c>
      <c r="AA30" s="54" t="s">
        <v>292</v>
      </c>
      <c r="AB30" s="54"/>
      <c r="AC30" s="54"/>
      <c r="AD30" s="54"/>
      <c r="AE30" s="54"/>
      <c r="AF30" s="54"/>
      <c r="AG30" s="56"/>
      <c r="AH30" s="56"/>
      <c r="AI30" s="54"/>
      <c r="AJ30" s="54"/>
      <c r="AK30" s="54"/>
      <c r="AL30" s="56"/>
      <c r="AM30" s="56"/>
      <c r="AN30" s="54"/>
      <c r="AO30" s="56"/>
      <c r="AP30" s="54"/>
      <c r="AQ30" s="56"/>
      <c r="AR30" s="54"/>
      <c r="AS30" s="54"/>
      <c r="AT30" s="54"/>
      <c r="AU30" s="59">
        <f t="shared" si="2"/>
        <v>46275</v>
      </c>
      <c r="AV30" s="54" t="s">
        <v>138</v>
      </c>
      <c r="AW30" s="54" t="s">
        <v>139</v>
      </c>
      <c r="AX30" s="59"/>
      <c r="AY30" s="59">
        <v>46260</v>
      </c>
      <c r="AZ30" s="59">
        <v>46261</v>
      </c>
      <c r="BA30" s="60" t="str">
        <f>IFERROR(VLOOKUP(B30,'02_DS_Nhan_Viec'!B:L,5,0),"")</f>
        <v>❌ Không đến nhận việc (quá hẹn)</v>
      </c>
      <c r="BB30" s="54"/>
      <c r="BC30" s="61" t="str">
        <f t="array" ref="BC30">IF($B30="","",IF(IFERROR(INDEX('02_DS_Nhan_Viec'!$J:$J,MATCH($B30,'02_DS_Nhan_Viec'!$B:$B,0)),"")="","Đang theo dõi",IF(OR(IFERROR(INDEX('05_Theo_Doi_Gio_Cong_7_Ngay'!$R:$R,MATCH(IFERROR(INDEX('02_DS_Nhan_Viec'!$J:$J,MATCH($B30,'02_DS_Nhan_Viec'!$B:$B,0)),""),'05_Theo_Doi_Gio_Cong_7_Ngay'!$B:$B,0)),"")="",IFERROR(INDEX('05_Theo_Doi_Gio_Cong_7_Ngay'!$R:$R,MATCH(IFERROR(INDEX('02_DS_Nhan_Viec'!$J:$J,MATCH($B30,'02_DS_Nhan_Viec'!$B:$B,0)),""),'05_Theo_Doi_Gio_Cong_7_Ngay'!$B:$B,0)),0)=0),"Đang theo dõi",IFERROR(INDEX('06_DS_Chinh_Thuc'!$K:$K,MATCH(IFERROR(INDEX('05_Theo_Doi_Gio_Cong_7_Ngay'!$R:$R,MATCH(IFERROR(INDEX('02_DS_Nhan_Viec'!$J:$J,MATCH($B30,'02_DS_Nhan_Viec'!$B:$B,0)),""),'05_Theo_Doi_Gio_Cong_7_Ngay'!$B:$B,0)),0),'06_DS_Chinh_Thuc'!$B:$B,0)),"Đang theo dõi"))))</f>
        <v>Đang theo dõi</v>
      </c>
    </row>
    <row r="31" ht="14.25" customHeight="1" spans="1:55" x14ac:dyDescent="0.25">
      <c r="A31" s="52">
        <f t="shared" si="0"/>
        <v>30</v>
      </c>
      <c r="B31" s="52" t="str">
        <f t="shared" si="1"/>
        <v>UV0826-020</v>
      </c>
      <c r="C31" s="53">
        <v>46260</v>
      </c>
      <c r="D31" s="54" t="s">
        <v>293</v>
      </c>
      <c r="E31" s="55" t="s">
        <v>294</v>
      </c>
      <c r="F31" s="56" t="s">
        <v>136</v>
      </c>
      <c r="G31" s="56" t="s">
        <v>295</v>
      </c>
      <c r="H31" s="56" t="s">
        <v>263</v>
      </c>
      <c r="I31" s="54" t="s">
        <v>274</v>
      </c>
      <c r="J31" s="57" t="s">
        <v>296</v>
      </c>
      <c r="K31" s="59">
        <v>30293</v>
      </c>
      <c r="L31" s="54" t="s">
        <v>297</v>
      </c>
      <c r="M31" s="54" t="s">
        <v>298</v>
      </c>
      <c r="N31" s="54" t="s">
        <v>298</v>
      </c>
      <c r="O31" s="55" t="s">
        <v>299</v>
      </c>
      <c r="P31" s="54" t="s">
        <v>300</v>
      </c>
      <c r="Q31" s="58" t="s">
        <v>301</v>
      </c>
      <c r="R31" s="54" t="s">
        <v>302</v>
      </c>
      <c r="S31" s="54" t="s">
        <v>303</v>
      </c>
      <c r="T31" s="59">
        <v>46260</v>
      </c>
      <c r="U31" s="54"/>
      <c r="V31" s="54"/>
      <c r="W31" s="54"/>
      <c r="X31" s="54" t="s">
        <v>304</v>
      </c>
      <c r="Y31" s="54"/>
      <c r="Z31" s="54" t="s">
        <v>305</v>
      </c>
      <c r="AA31" s="54" t="s">
        <v>306</v>
      </c>
      <c r="AB31" s="54"/>
      <c r="AC31" s="54" t="s">
        <v>307</v>
      </c>
      <c r="AD31" s="54"/>
      <c r="AE31" s="54"/>
      <c r="AF31" s="54"/>
      <c r="AG31" s="56"/>
      <c r="AH31" s="56"/>
      <c r="AI31" s="54"/>
      <c r="AJ31" s="54" t="s">
        <v>308</v>
      </c>
      <c r="AK31" s="54" t="s">
        <v>309</v>
      </c>
      <c r="AL31" s="56"/>
      <c r="AM31" s="56"/>
      <c r="AN31" s="54" t="s">
        <v>310</v>
      </c>
      <c r="AO31" s="56">
        <v>10</v>
      </c>
      <c r="AP31" s="54" t="s">
        <v>311</v>
      </c>
      <c r="AQ31" s="56"/>
      <c r="AR31" s="54"/>
      <c r="AS31" s="54" t="s">
        <v>312</v>
      </c>
      <c r="AT31" s="54" t="s">
        <v>303</v>
      </c>
      <c r="AU31" s="59">
        <f t="shared" si="2"/>
        <v>46274</v>
      </c>
      <c r="AV31" s="54" t="s">
        <v>138</v>
      </c>
      <c r="AW31" s="54" t="s">
        <v>139</v>
      </c>
      <c r="AX31" s="59"/>
      <c r="AY31" s="59">
        <v>46260</v>
      </c>
      <c r="AZ31" s="59">
        <v>46260</v>
      </c>
      <c r="BA31" s="60" t="str">
        <f>IFERROR(VLOOKUP(B31,'02_DS_Nhan_Viec'!B:L,5,0),"")</f>
        <v>❌ Không đến nhận việc (quá hẹn)</v>
      </c>
      <c r="BB31" s="54"/>
      <c r="BC31" s="61" t="str">
        <f t="array" ref="BC31">IF($B31="","",IF(IFERROR(INDEX('02_DS_Nhan_Viec'!$J:$J,MATCH($B31,'02_DS_Nhan_Viec'!$B:$B,0)),"")="","Đang theo dõi",IF(OR(IFERROR(INDEX('05_Theo_Doi_Gio_Cong_7_Ngay'!$R:$R,MATCH(IFERROR(INDEX('02_DS_Nhan_Viec'!$J:$J,MATCH($B31,'02_DS_Nhan_Viec'!$B:$B,0)),""),'05_Theo_Doi_Gio_Cong_7_Ngay'!$B:$B,0)),"")="",IFERROR(INDEX('05_Theo_Doi_Gio_Cong_7_Ngay'!$R:$R,MATCH(IFERROR(INDEX('02_DS_Nhan_Viec'!$J:$J,MATCH($B31,'02_DS_Nhan_Viec'!$B:$B,0)),""),'05_Theo_Doi_Gio_Cong_7_Ngay'!$B:$B,0)),0)=0),"Đang theo dõi",IFERROR(INDEX('06_DS_Chinh_Thuc'!$K:$K,MATCH(IFERROR(INDEX('05_Theo_Doi_Gio_Cong_7_Ngay'!$R:$R,MATCH(IFERROR(INDEX('02_DS_Nhan_Viec'!$J:$J,MATCH($B31,'02_DS_Nhan_Viec'!$B:$B,0)),""),'05_Theo_Doi_Gio_Cong_7_Ngay'!$B:$B,0)),0),'06_DS_Chinh_Thuc'!$B:$B,0)),"Đang theo dõi"))))</f>
        <v>Đang theo dõi</v>
      </c>
    </row>
    <row r="32" ht="14.25" customHeight="1" spans="1:55" x14ac:dyDescent="0.25">
      <c r="A32" s="52">
        <f t="shared" si="0"/>
        <v>31</v>
      </c>
      <c r="B32" s="52" t="str">
        <f t="shared" si="1"/>
        <v>UV0826-021</v>
      </c>
      <c r="C32" s="53">
        <v>46262</v>
      </c>
      <c r="D32" s="54" t="s">
        <v>313</v>
      </c>
      <c r="E32" s="55" t="s">
        <v>314</v>
      </c>
      <c r="F32" s="56" t="s">
        <v>136</v>
      </c>
      <c r="G32" s="56">
        <v>1981</v>
      </c>
      <c r="H32" s="56" t="s">
        <v>263</v>
      </c>
      <c r="I32" s="54" t="s">
        <v>274</v>
      </c>
      <c r="J32" s="57" t="s">
        <v>315</v>
      </c>
      <c r="K32" s="59">
        <v>44375</v>
      </c>
      <c r="L32" s="54" t="s">
        <v>316</v>
      </c>
      <c r="M32" s="54" t="s">
        <v>317</v>
      </c>
      <c r="N32" s="54" t="s">
        <v>318</v>
      </c>
      <c r="O32" s="55" t="s">
        <v>319</v>
      </c>
      <c r="P32" s="54" t="s">
        <v>320</v>
      </c>
      <c r="Q32" s="58" t="s">
        <v>321</v>
      </c>
      <c r="R32" s="54" t="s">
        <v>167</v>
      </c>
      <c r="S32" s="54" t="s">
        <v>322</v>
      </c>
      <c r="T32" s="59">
        <v>46268</v>
      </c>
      <c r="U32" s="54"/>
      <c r="V32" s="54"/>
      <c r="W32" s="54"/>
      <c r="X32" s="54" t="s">
        <v>323</v>
      </c>
      <c r="Y32" s="54">
        <v>2</v>
      </c>
      <c r="Z32" s="54" t="s">
        <v>324</v>
      </c>
      <c r="AA32" s="54" t="s">
        <v>322</v>
      </c>
      <c r="AB32" s="54"/>
      <c r="AC32" s="54"/>
      <c r="AD32" s="54"/>
      <c r="AE32" s="54"/>
      <c r="AF32" s="54" t="s">
        <v>325</v>
      </c>
      <c r="AG32" s="56"/>
      <c r="AH32" s="56"/>
      <c r="AI32" s="54" t="s">
        <v>326</v>
      </c>
      <c r="AJ32" s="54" t="s">
        <v>308</v>
      </c>
      <c r="AK32" s="54"/>
      <c r="AL32" s="56"/>
      <c r="AM32" s="56"/>
      <c r="AN32" s="54" t="s">
        <v>327</v>
      </c>
      <c r="AO32" s="56">
        <v>7</v>
      </c>
      <c r="AP32" s="54" t="s">
        <v>311</v>
      </c>
      <c r="AQ32" s="56"/>
      <c r="AR32" s="54"/>
      <c r="AS32" s="54"/>
      <c r="AT32" s="54"/>
      <c r="AU32" s="59">
        <f t="shared" si="2"/>
        <v>46274</v>
      </c>
      <c r="AV32" s="54" t="s">
        <v>138</v>
      </c>
      <c r="AW32" s="54" t="s">
        <v>139</v>
      </c>
      <c r="AX32" s="59"/>
      <c r="AY32" s="59">
        <v>46260</v>
      </c>
      <c r="AZ32" s="59">
        <v>46260</v>
      </c>
      <c r="BA32" s="60" t="str">
        <f>IFERROR(VLOOKUP(B32,'02_DS_Nhan_Viec'!B:L,5,0),"")</f>
        <v>❌ Không đến nhận việc (quá hẹn)</v>
      </c>
      <c r="BB32" s="54"/>
      <c r="BC32" s="61" t="str">
        <f t="array" ref="BC32">IF($B32="","",IF(IFERROR(INDEX('02_DS_Nhan_Viec'!$J:$J,MATCH($B32,'02_DS_Nhan_Viec'!$B:$B,0)),"")="","Đang theo dõi",IF(OR(IFERROR(INDEX('05_Theo_Doi_Gio_Cong_7_Ngay'!$R:$R,MATCH(IFERROR(INDEX('02_DS_Nhan_Viec'!$J:$J,MATCH($B32,'02_DS_Nhan_Viec'!$B:$B,0)),""),'05_Theo_Doi_Gio_Cong_7_Ngay'!$B:$B,0)),"")="",IFERROR(INDEX('05_Theo_Doi_Gio_Cong_7_Ngay'!$R:$R,MATCH(IFERROR(INDEX('02_DS_Nhan_Viec'!$J:$J,MATCH($B32,'02_DS_Nhan_Viec'!$B:$B,0)),""),'05_Theo_Doi_Gio_Cong_7_Ngay'!$B:$B,0)),0)=0),"Đang theo dõi",IFERROR(INDEX('06_DS_Chinh_Thuc'!$K:$K,MATCH(IFERROR(INDEX('05_Theo_Doi_Gio_Cong_7_Ngay'!$R:$R,MATCH(IFERROR(INDEX('02_DS_Nhan_Viec'!$J:$J,MATCH($B32,'02_DS_Nhan_Viec'!$B:$B,0)),""),'05_Theo_Doi_Gio_Cong_7_Ngay'!$B:$B,0)),0),'06_DS_Chinh_Thuc'!$B:$B,0)),"Đang theo dõi"))))</f>
        <v>Đang theo dõi</v>
      </c>
    </row>
    <row r="33" ht="14.25" customHeight="1" spans="1:55" x14ac:dyDescent="0.25">
      <c r="A33" s="52">
        <f t="shared" si="0"/>
        <v>32</v>
      </c>
      <c r="B33" s="52" t="str">
        <f t="shared" si="1"/>
        <v>UV0826-022</v>
      </c>
      <c r="C33" s="53">
        <v>46262</v>
      </c>
      <c r="D33" s="54" t="s">
        <v>328</v>
      </c>
      <c r="E33" s="55" t="s">
        <v>329</v>
      </c>
      <c r="F33" s="56" t="s">
        <v>136</v>
      </c>
      <c r="G33" s="56">
        <v>1979</v>
      </c>
      <c r="H33" s="56" t="s">
        <v>263</v>
      </c>
      <c r="I33" s="54" t="s">
        <v>274</v>
      </c>
      <c r="J33" s="57" t="s">
        <v>330</v>
      </c>
      <c r="K33" s="59">
        <v>45091</v>
      </c>
      <c r="L33" s="54" t="s">
        <v>210</v>
      </c>
      <c r="M33" s="54" t="s">
        <v>331</v>
      </c>
      <c r="N33" s="54" t="s">
        <v>332</v>
      </c>
      <c r="O33" s="55" t="s">
        <v>333</v>
      </c>
      <c r="P33" s="54" t="s">
        <v>334</v>
      </c>
      <c r="Q33" s="58" t="s">
        <v>335</v>
      </c>
      <c r="R33" s="54" t="s">
        <v>336</v>
      </c>
      <c r="S33" s="54"/>
      <c r="T33" s="59">
        <v>46268</v>
      </c>
      <c r="U33" s="54"/>
      <c r="V33" s="54"/>
      <c r="W33" s="54"/>
      <c r="X33" s="54" t="s">
        <v>337</v>
      </c>
      <c r="Y33" s="54"/>
      <c r="Z33" s="54" t="s">
        <v>305</v>
      </c>
      <c r="AA33" s="54" t="s">
        <v>338</v>
      </c>
      <c r="AB33" s="54"/>
      <c r="AC33" s="54"/>
      <c r="AD33" s="54"/>
      <c r="AE33" s="54"/>
      <c r="AF33" s="54" t="s">
        <v>339</v>
      </c>
      <c r="AG33" s="56"/>
      <c r="AH33" s="56"/>
      <c r="AI33" s="54" t="s">
        <v>340</v>
      </c>
      <c r="AJ33" s="54" t="s">
        <v>308</v>
      </c>
      <c r="AK33" s="54"/>
      <c r="AL33" s="56"/>
      <c r="AM33" s="56"/>
      <c r="AN33" s="54" t="s">
        <v>327</v>
      </c>
      <c r="AO33" s="56">
        <v>5</v>
      </c>
      <c r="AP33" s="54" t="s">
        <v>311</v>
      </c>
      <c r="AQ33" s="56"/>
      <c r="AR33" s="54"/>
      <c r="AS33" s="54"/>
      <c r="AT33" s="54"/>
      <c r="AU33" s="59">
        <f t="shared" si="2"/>
        <v>46274</v>
      </c>
      <c r="AV33" s="54" t="s">
        <v>138</v>
      </c>
      <c r="AW33" s="54" t="s">
        <v>139</v>
      </c>
      <c r="AX33" s="59"/>
      <c r="AY33" s="59">
        <v>46260</v>
      </c>
      <c r="AZ33" s="59">
        <v>46260</v>
      </c>
      <c r="BA33" s="60" t="str">
        <f>IFERROR(VLOOKUP(B33,'02_DS_Nhan_Viec'!B:L,5,0),"")</f>
        <v>❌ Không đến nhận việc (quá hẹn)</v>
      </c>
      <c r="BB33" s="54"/>
      <c r="BC33" s="61" t="str">
        <f t="array" ref="BC33">IF($B33="","",IF(IFERROR(INDEX('02_DS_Nhan_Viec'!$J:$J,MATCH($B33,'02_DS_Nhan_Viec'!$B:$B,0)),"")="","Đang theo dõi",IF(OR(IFERROR(INDEX('05_Theo_Doi_Gio_Cong_7_Ngay'!$R:$R,MATCH(IFERROR(INDEX('02_DS_Nhan_Viec'!$J:$J,MATCH($B33,'02_DS_Nhan_Viec'!$B:$B,0)),""),'05_Theo_Doi_Gio_Cong_7_Ngay'!$B:$B,0)),"")="",IFERROR(INDEX('05_Theo_Doi_Gio_Cong_7_Ngay'!$R:$R,MATCH(IFERROR(INDEX('02_DS_Nhan_Viec'!$J:$J,MATCH($B33,'02_DS_Nhan_Viec'!$B:$B,0)),""),'05_Theo_Doi_Gio_Cong_7_Ngay'!$B:$B,0)),0)=0),"Đang theo dõi",IFERROR(INDEX('06_DS_Chinh_Thuc'!$K:$K,MATCH(IFERROR(INDEX('05_Theo_Doi_Gio_Cong_7_Ngay'!$R:$R,MATCH(IFERROR(INDEX('02_DS_Nhan_Viec'!$J:$J,MATCH($B33,'02_DS_Nhan_Viec'!$B:$B,0)),""),'05_Theo_Doi_Gio_Cong_7_Ngay'!$B:$B,0)),0),'06_DS_Chinh_Thuc'!$B:$B,0)),"Đang theo dõi"))))</f>
        <v>Đang theo dõi</v>
      </c>
    </row>
    <row r="34" ht="14.25" customHeight="1" spans="1:55" x14ac:dyDescent="0.25">
      <c r="A34" s="52">
        <f t="shared" si="0"/>
        <v>33</v>
      </c>
      <c r="B34" s="52" t="str">
        <f t="shared" si="1"/>
        <v>UV0826-023</v>
      </c>
      <c r="C34" s="53">
        <v>46262</v>
      </c>
      <c r="D34" s="54" t="s">
        <v>341</v>
      </c>
      <c r="E34" s="55" t="s">
        <v>342</v>
      </c>
      <c r="F34" s="56" t="s">
        <v>144</v>
      </c>
      <c r="G34" s="56">
        <v>2001</v>
      </c>
      <c r="H34" s="56" t="s">
        <v>263</v>
      </c>
      <c r="I34" s="54" t="s">
        <v>274</v>
      </c>
      <c r="J34" s="57" t="s">
        <v>343</v>
      </c>
      <c r="K34" s="59">
        <v>46179</v>
      </c>
      <c r="L34" s="54" t="s">
        <v>170</v>
      </c>
      <c r="M34" s="54" t="s">
        <v>344</v>
      </c>
      <c r="N34" s="54" t="s">
        <v>345</v>
      </c>
      <c r="O34" s="55" t="s">
        <v>333</v>
      </c>
      <c r="P34" s="54" t="s">
        <v>346</v>
      </c>
      <c r="Q34" s="58" t="s">
        <v>347</v>
      </c>
      <c r="R34" s="54" t="s">
        <v>303</v>
      </c>
      <c r="S34" s="54" t="s">
        <v>303</v>
      </c>
      <c r="T34" s="59">
        <v>46268</v>
      </c>
      <c r="U34" s="54"/>
      <c r="V34" s="54"/>
      <c r="W34" s="54"/>
      <c r="X34" s="54" t="s">
        <v>304</v>
      </c>
      <c r="Y34" s="54"/>
      <c r="Z34" s="54" t="s">
        <v>305</v>
      </c>
      <c r="AA34" s="54" t="s">
        <v>348</v>
      </c>
      <c r="AB34" s="54"/>
      <c r="AC34" s="54" t="s">
        <v>349</v>
      </c>
      <c r="AD34" s="54"/>
      <c r="AE34" s="54"/>
      <c r="AF34" s="54" t="s">
        <v>350</v>
      </c>
      <c r="AG34" s="56"/>
      <c r="AH34" s="56"/>
      <c r="AI34" s="54" t="s">
        <v>340</v>
      </c>
      <c r="AJ34" s="54" t="s">
        <v>308</v>
      </c>
      <c r="AK34" s="54"/>
      <c r="AL34" s="56"/>
      <c r="AM34" s="56" t="s">
        <v>340</v>
      </c>
      <c r="AN34" s="54" t="s">
        <v>351</v>
      </c>
      <c r="AO34" s="56">
        <v>5</v>
      </c>
      <c r="AP34" s="54" t="s">
        <v>311</v>
      </c>
      <c r="AQ34" s="56"/>
      <c r="AR34" s="54"/>
      <c r="AS34" s="54"/>
      <c r="AT34" s="54"/>
      <c r="AU34" s="59">
        <f t="shared" si="2"/>
        <v>46282</v>
      </c>
      <c r="AV34" s="54" t="s">
        <v>138</v>
      </c>
      <c r="AW34" s="54" t="s">
        <v>139</v>
      </c>
      <c r="AX34" s="59"/>
      <c r="AY34" s="59">
        <v>46260</v>
      </c>
      <c r="AZ34" s="59">
        <v>46268</v>
      </c>
      <c r="BA34" s="60" t="str">
        <f>IFERROR(VLOOKUP(B34,'02_DS_Nhan_Viec'!B:L,5,0),"")</f>
        <v>✅ Đã nhận việc - Đúng hẹn</v>
      </c>
      <c r="BB34" s="54"/>
      <c r="BC34" s="61" t="str">
        <f t="array" ref="BC34">IF($B34="","",IF(IFERROR(INDEX('02_DS_Nhan_Viec'!$J:$J,MATCH($B34,'02_DS_Nhan_Viec'!$B:$B,0)),"")="","Đang theo dõi",IF(OR(IFERROR(INDEX('05_Theo_Doi_Gio_Cong_7_Ngay'!$R:$R,MATCH(IFERROR(INDEX('02_DS_Nhan_Viec'!$J:$J,MATCH($B34,'02_DS_Nhan_Viec'!$B:$B,0)),""),'05_Theo_Doi_Gio_Cong_7_Ngay'!$B:$B,0)),"")="",IFERROR(INDEX('05_Theo_Doi_Gio_Cong_7_Ngay'!$R:$R,MATCH(IFERROR(INDEX('02_DS_Nhan_Viec'!$J:$J,MATCH($B34,'02_DS_Nhan_Viec'!$B:$B,0)),""),'05_Theo_Doi_Gio_Cong_7_Ngay'!$B:$B,0)),0)=0),"Đang theo dõi",IFERROR(INDEX('06_DS_Chinh_Thuc'!$K:$K,MATCH(IFERROR(INDEX('05_Theo_Doi_Gio_Cong_7_Ngay'!$R:$R,MATCH(IFERROR(INDEX('02_DS_Nhan_Viec'!$J:$J,MATCH($B34,'02_DS_Nhan_Viec'!$B:$B,0)),""),'05_Theo_Doi_Gio_Cong_7_Ngay'!$B:$B,0)),0),'06_DS_Chinh_Thuc'!$B:$B,0)),"Đang theo dõi"))))</f>
        <v>Đang theo dõi</v>
      </c>
    </row>
    <row r="35" ht="14.25" customHeight="1" spans="1:55" x14ac:dyDescent="0.25">
      <c r="A35" s="52">
        <f t="shared" si="0"/>
        <v>34</v>
      </c>
      <c r="B35" s="52" t="str">
        <f t="shared" si="1"/>
        <v>UV0826-024</v>
      </c>
      <c r="C35" s="53">
        <v>46262</v>
      </c>
      <c r="D35" s="54" t="s">
        <v>346</v>
      </c>
      <c r="E35" s="55" t="s">
        <v>347</v>
      </c>
      <c r="F35" s="56" t="s">
        <v>136</v>
      </c>
      <c r="G35" s="56">
        <v>2000</v>
      </c>
      <c r="H35" s="56" t="s">
        <v>263</v>
      </c>
      <c r="I35" s="54" t="s">
        <v>274</v>
      </c>
      <c r="J35" s="57" t="s">
        <v>352</v>
      </c>
      <c r="K35" s="59">
        <v>46180</v>
      </c>
      <c r="L35" s="54" t="s">
        <v>170</v>
      </c>
      <c r="M35" s="54" t="s">
        <v>353</v>
      </c>
      <c r="N35" s="54" t="s">
        <v>345</v>
      </c>
      <c r="O35" s="55" t="s">
        <v>319</v>
      </c>
      <c r="P35" s="54" t="s">
        <v>341</v>
      </c>
      <c r="Q35" s="58" t="s">
        <v>342</v>
      </c>
      <c r="R35" s="54" t="s">
        <v>336</v>
      </c>
      <c r="S35" s="54"/>
      <c r="T35" s="59">
        <v>46268</v>
      </c>
      <c r="U35" s="54"/>
      <c r="V35" s="54"/>
      <c r="W35" s="54"/>
      <c r="X35" s="54" t="s">
        <v>354</v>
      </c>
      <c r="Y35" s="54"/>
      <c r="Z35" s="54"/>
      <c r="AA35" s="54" t="s">
        <v>322</v>
      </c>
      <c r="AB35" s="54"/>
      <c r="AC35" s="54" t="s">
        <v>355</v>
      </c>
      <c r="AD35" s="54"/>
      <c r="AE35" s="54"/>
      <c r="AF35" s="54" t="s">
        <v>356</v>
      </c>
      <c r="AG35" s="56"/>
      <c r="AH35" s="56"/>
      <c r="AI35" s="54" t="s">
        <v>340</v>
      </c>
      <c r="AJ35" s="54" t="s">
        <v>308</v>
      </c>
      <c r="AK35" s="54"/>
      <c r="AL35" s="56"/>
      <c r="AM35" s="56"/>
      <c r="AN35" s="54" t="s">
        <v>351</v>
      </c>
      <c r="AO35" s="56">
        <v>5</v>
      </c>
      <c r="AP35" s="54" t="s">
        <v>311</v>
      </c>
      <c r="AQ35" s="56"/>
      <c r="AR35" s="54"/>
      <c r="AS35" s="54"/>
      <c r="AT35" s="54"/>
      <c r="AU35" s="59">
        <f t="shared" si="2"/>
        <v>46282</v>
      </c>
      <c r="AV35" s="54" t="s">
        <v>138</v>
      </c>
      <c r="AW35" s="54" t="s">
        <v>139</v>
      </c>
      <c r="AX35" s="59"/>
      <c r="AY35" s="59">
        <v>46260</v>
      </c>
      <c r="AZ35" s="59">
        <v>46268</v>
      </c>
      <c r="BA35" s="60" t="str">
        <f>IFERROR(VLOOKUP(B35,'02_DS_Nhan_Viec'!B:L,5,0),"")</f>
        <v>✅ Đã nhận việc - Đúng hẹn</v>
      </c>
      <c r="BB35" s="54"/>
      <c r="BC35" s="61" t="str">
        <f t="array" ref="BC35">IF($B35="","",IF(IFERROR(INDEX('02_DS_Nhan_Viec'!$J:$J,MATCH($B35,'02_DS_Nhan_Viec'!$B:$B,0)),"")="","Đang theo dõi",IF(OR(IFERROR(INDEX('05_Theo_Doi_Gio_Cong_7_Ngay'!$R:$R,MATCH(IFERROR(INDEX('02_DS_Nhan_Viec'!$J:$J,MATCH($B35,'02_DS_Nhan_Viec'!$B:$B,0)),""),'05_Theo_Doi_Gio_Cong_7_Ngay'!$B:$B,0)),"")="",IFERROR(INDEX('05_Theo_Doi_Gio_Cong_7_Ngay'!$R:$R,MATCH(IFERROR(INDEX('02_DS_Nhan_Viec'!$J:$J,MATCH($B35,'02_DS_Nhan_Viec'!$B:$B,0)),""),'05_Theo_Doi_Gio_Cong_7_Ngay'!$B:$B,0)),0)=0),"Đang theo dõi",IFERROR(INDEX('06_DS_Chinh_Thuc'!$K:$K,MATCH(IFERROR(INDEX('05_Theo_Doi_Gio_Cong_7_Ngay'!$R:$R,MATCH(IFERROR(INDEX('02_DS_Nhan_Viec'!$J:$J,MATCH($B35,'02_DS_Nhan_Viec'!$B:$B,0)),""),'05_Theo_Doi_Gio_Cong_7_Ngay'!$B:$B,0)),0),'06_DS_Chinh_Thuc'!$B:$B,0)),"Đang theo dõi"))))</f>
        <v>Đang theo dõi</v>
      </c>
    </row>
    <row r="36" ht="14.25" customHeight="1" spans="1:55" x14ac:dyDescent="0.25">
      <c r="A36" s="52">
        <f t="shared" si="0"/>
        <v>35</v>
      </c>
      <c r="B36" s="52" t="str">
        <f t="shared" si="1"/>
        <v>UV0926-001</v>
      </c>
      <c r="C36" s="53">
        <v>46268</v>
      </c>
      <c r="D36" s="54" t="s">
        <v>357</v>
      </c>
      <c r="E36" s="55" t="s">
        <v>358</v>
      </c>
      <c r="F36" s="56" t="s">
        <v>136</v>
      </c>
      <c r="G36" s="56">
        <v>1991</v>
      </c>
      <c r="H36" s="56" t="s">
        <v>263</v>
      </c>
      <c r="I36" s="54" t="s">
        <v>274</v>
      </c>
      <c r="J36" s="57" t="s">
        <v>359</v>
      </c>
      <c r="K36" s="59">
        <v>44387</v>
      </c>
      <c r="L36" s="54" t="s">
        <v>175</v>
      </c>
      <c r="M36" s="54" t="s">
        <v>360</v>
      </c>
      <c r="N36" s="54" t="s">
        <v>360</v>
      </c>
      <c r="O36" s="55" t="s">
        <v>299</v>
      </c>
      <c r="P36" s="54" t="s">
        <v>361</v>
      </c>
      <c r="Q36" s="58" t="s">
        <v>362</v>
      </c>
      <c r="R36" s="54" t="s">
        <v>279</v>
      </c>
      <c r="S36" s="54" t="s">
        <v>363</v>
      </c>
      <c r="T36" s="59">
        <v>46269</v>
      </c>
      <c r="U36" s="54"/>
      <c r="V36" s="54"/>
      <c r="W36" s="54"/>
      <c r="X36" s="54" t="s">
        <v>290</v>
      </c>
      <c r="Y36" s="54"/>
      <c r="Z36" s="54" t="s">
        <v>364</v>
      </c>
      <c r="AA36" s="54" t="s">
        <v>365</v>
      </c>
      <c r="AB36" s="54"/>
      <c r="AC36" s="54"/>
      <c r="AD36" s="54"/>
      <c r="AE36" s="54"/>
      <c r="AF36" s="54"/>
      <c r="AG36" s="56"/>
      <c r="AH36" s="56"/>
      <c r="AI36" s="54" t="s">
        <v>366</v>
      </c>
      <c r="AJ36" s="54" t="s">
        <v>308</v>
      </c>
      <c r="AK36" s="54"/>
      <c r="AL36" s="56"/>
      <c r="AM36" s="56"/>
      <c r="AN36" s="54" t="s">
        <v>327</v>
      </c>
      <c r="AO36" s="56">
        <v>2</v>
      </c>
      <c r="AP36" s="54" t="s">
        <v>311</v>
      </c>
      <c r="AQ36" s="56"/>
      <c r="AR36" s="54"/>
      <c r="AS36" s="54"/>
      <c r="AT36" s="54"/>
      <c r="AU36" s="59">
        <v>46269</v>
      </c>
      <c r="AV36" s="54" t="s">
        <v>367</v>
      </c>
      <c r="AW36" s="54" t="s">
        <v>139</v>
      </c>
      <c r="AX36" s="59"/>
      <c r="AY36" s="59">
        <v>46268</v>
      </c>
      <c r="AZ36" s="59">
        <v>46269</v>
      </c>
      <c r="BA36" s="60" t="str">
        <f>IFERROR(VLOOKUP(B36,'02_DS_Nhan_Viec'!B:L,5,0),"")</f>
        <v>⚠ Đã nhận việc - Trễ 1 ngày</v>
      </c>
      <c r="BB36" s="54"/>
      <c r="BC36" s="61" t="str">
        <f t="array" ref="BC36">IF($B36="","",IF(IFERROR(INDEX('02_DS_Nhan_Viec'!$J:$J,MATCH($B36,'02_DS_Nhan_Viec'!$B:$B,0)),"")="","Đang theo dõi",IF(OR(IFERROR(INDEX('05_Theo_Doi_Gio_Cong_7_Ngay'!$R:$R,MATCH(IFERROR(INDEX('02_DS_Nhan_Viec'!$J:$J,MATCH($B36,'02_DS_Nhan_Viec'!$B:$B,0)),""),'05_Theo_Doi_Gio_Cong_7_Ngay'!$B:$B,0)),"")="",IFERROR(INDEX('05_Theo_Doi_Gio_Cong_7_Ngay'!$R:$R,MATCH(IFERROR(INDEX('02_DS_Nhan_Viec'!$J:$J,MATCH($B36,'02_DS_Nhan_Viec'!$B:$B,0)),""),'05_Theo_Doi_Gio_Cong_7_Ngay'!$B:$B,0)),0)=0),"Đang theo dõi",IFERROR(INDEX('06_DS_Chinh_Thuc'!$K:$K,MATCH(IFERROR(INDEX('05_Theo_Doi_Gio_Cong_7_Ngay'!$R:$R,MATCH(IFERROR(INDEX('02_DS_Nhan_Viec'!$J:$J,MATCH($B36,'02_DS_Nhan_Viec'!$B:$B,0)),""),'05_Theo_Doi_Gio_Cong_7_Ngay'!$B:$B,0)),0),'06_DS_Chinh_Thuc'!$B:$B,0)),"Đang theo dõi"))))</f>
        <v>Đang theo dõi</v>
      </c>
    </row>
    <row r="37" ht="14.25" customHeight="1" spans="1:55" x14ac:dyDescent="0.25">
      <c r="A37" s="52">
        <f t="shared" si="0"/>
        <v>36</v>
      </c>
      <c r="B37" s="52" t="str">
        <f t="shared" si="1"/>
        <v>UV0926-002</v>
      </c>
      <c r="C37" s="53">
        <v>46268</v>
      </c>
      <c r="D37" s="54" t="s">
        <v>368</v>
      </c>
      <c r="E37" s="55" t="s">
        <v>252</v>
      </c>
      <c r="F37" s="56" t="s">
        <v>136</v>
      </c>
      <c r="G37" s="56">
        <v>2011</v>
      </c>
      <c r="H37" s="56" t="s">
        <v>263</v>
      </c>
      <c r="I37" s="54" t="s">
        <v>369</v>
      </c>
      <c r="J37" s="57" t="s">
        <v>370</v>
      </c>
      <c r="K37" s="59">
        <v>45726</v>
      </c>
      <c r="L37" s="54" t="s">
        <v>170</v>
      </c>
      <c r="M37" s="54" t="s">
        <v>371</v>
      </c>
      <c r="N37" s="54" t="s">
        <v>372</v>
      </c>
      <c r="O37" s="55" t="s">
        <v>319</v>
      </c>
      <c r="P37" s="54" t="s">
        <v>373</v>
      </c>
      <c r="Q37" s="58" t="s">
        <v>252</v>
      </c>
      <c r="R37" s="54" t="s">
        <v>267</v>
      </c>
      <c r="S37" s="54" t="s">
        <v>322</v>
      </c>
      <c r="T37" s="59">
        <v>46269</v>
      </c>
      <c r="U37" s="54"/>
      <c r="V37" s="54" t="s">
        <v>374</v>
      </c>
      <c r="W37" s="54" t="s">
        <v>375</v>
      </c>
      <c r="X37" s="54" t="s">
        <v>354</v>
      </c>
      <c r="Y37" s="54"/>
      <c r="Z37" s="54" t="s">
        <v>376</v>
      </c>
      <c r="AA37" s="54" t="s">
        <v>377</v>
      </c>
      <c r="AB37" s="54"/>
      <c r="AC37" s="54" t="s">
        <v>378</v>
      </c>
      <c r="AD37" s="54"/>
      <c r="AE37" s="54"/>
      <c r="AF37" s="54" t="s">
        <v>379</v>
      </c>
      <c r="AG37" s="56"/>
      <c r="AH37" s="56"/>
      <c r="AI37" s="54" t="s">
        <v>340</v>
      </c>
      <c r="AJ37" s="54" t="s">
        <v>308</v>
      </c>
      <c r="AK37" s="54"/>
      <c r="AL37" s="56"/>
      <c r="AM37" s="56"/>
      <c r="AN37" s="54" t="s">
        <v>380</v>
      </c>
      <c r="AO37" s="56">
        <v>0.2</v>
      </c>
      <c r="AP37" s="54" t="s">
        <v>261</v>
      </c>
      <c r="AQ37" s="56"/>
      <c r="AR37" s="54"/>
      <c r="AS37" s="54"/>
      <c r="AT37" s="54"/>
      <c r="AU37" s="59">
        <v>46269</v>
      </c>
      <c r="AV37" s="54" t="s">
        <v>367</v>
      </c>
      <c r="AW37" s="54" t="s">
        <v>139</v>
      </c>
      <c r="AX37" s="59"/>
      <c r="AY37" s="59">
        <v>46268</v>
      </c>
      <c r="AZ37" s="59">
        <v>46269</v>
      </c>
      <c r="BA37" s="60" t="str">
        <f>IFERROR(VLOOKUP(B37,'02_DS_Nhan_Viec'!B:L,5,0),"")</f>
        <v>⚠ Đã nhận việc - Trễ 1 ngày</v>
      </c>
      <c r="BB37" s="54"/>
      <c r="BC37" s="61" t="str">
        <f t="array" ref="BC37">IF($B37="","",IF(IFERROR(INDEX('02_DS_Nhan_Viec'!$J:$J,MATCH($B37,'02_DS_Nhan_Viec'!$B:$B,0)),"")="","Đang theo dõi",IF(OR(IFERROR(INDEX('05_Theo_Doi_Gio_Cong_7_Ngay'!$R:$R,MATCH(IFERROR(INDEX('02_DS_Nhan_Viec'!$J:$J,MATCH($B37,'02_DS_Nhan_Viec'!$B:$B,0)),""),'05_Theo_Doi_Gio_Cong_7_Ngay'!$B:$B,0)),"")="",IFERROR(INDEX('05_Theo_Doi_Gio_Cong_7_Ngay'!$R:$R,MATCH(IFERROR(INDEX('02_DS_Nhan_Viec'!$J:$J,MATCH($B37,'02_DS_Nhan_Viec'!$B:$B,0)),""),'05_Theo_Doi_Gio_Cong_7_Ngay'!$B:$B,0)),0)=0),"Đang theo dõi",IFERROR(INDEX('06_DS_Chinh_Thuc'!$K:$K,MATCH(IFERROR(INDEX('05_Theo_Doi_Gio_Cong_7_Ngay'!$R:$R,MATCH(IFERROR(INDEX('02_DS_Nhan_Viec'!$J:$J,MATCH($B37,'02_DS_Nhan_Viec'!$B:$B,0)),""),'05_Theo_Doi_Gio_Cong_7_Ngay'!$B:$B,0)),0),'06_DS_Chinh_Thuc'!$B:$B,0)),"Đang theo dõi"))))</f>
        <v>Đang theo dõi</v>
      </c>
    </row>
    <row r="38" ht="14.25" customHeight="1" spans="1:55" x14ac:dyDescent="0.25">
      <c r="A38" s="52">
        <f t="shared" si="0"/>
        <v>37</v>
      </c>
      <c r="B38" s="52" t="str">
        <f t="shared" si="1"/>
        <v>UV0926-003</v>
      </c>
      <c r="C38" s="53">
        <v>46268</v>
      </c>
      <c r="D38" s="54" t="s">
        <v>50</v>
      </c>
      <c r="E38" s="55" t="s">
        <v>381</v>
      </c>
      <c r="F38" s="56" t="s">
        <v>144</v>
      </c>
      <c r="G38" s="56">
        <v>2004</v>
      </c>
      <c r="H38" s="56" t="s">
        <v>263</v>
      </c>
      <c r="I38" s="54" t="s">
        <v>369</v>
      </c>
      <c r="J38" s="57" t="s">
        <v>382</v>
      </c>
      <c r="K38" s="59">
        <v>44683</v>
      </c>
      <c r="L38" s="54" t="s">
        <v>204</v>
      </c>
      <c r="M38" s="54" t="s">
        <v>383</v>
      </c>
      <c r="N38" s="54" t="s">
        <v>384</v>
      </c>
      <c r="O38" s="55" t="s">
        <v>238</v>
      </c>
      <c r="P38" s="54" t="s">
        <v>385</v>
      </c>
      <c r="Q38" s="58" t="s">
        <v>386</v>
      </c>
      <c r="R38" s="54" t="s">
        <v>387</v>
      </c>
      <c r="S38" s="54" t="s">
        <v>303</v>
      </c>
      <c r="T38" s="59">
        <v>46271</v>
      </c>
      <c r="U38" s="54"/>
      <c r="V38" s="54"/>
      <c r="W38" s="54"/>
      <c r="X38" s="54" t="s">
        <v>388</v>
      </c>
      <c r="Y38" s="54"/>
      <c r="Z38" s="54" t="s">
        <v>389</v>
      </c>
      <c r="AA38" s="54" t="s">
        <v>390</v>
      </c>
      <c r="AB38" s="54"/>
      <c r="AC38" s="54" t="s">
        <v>391</v>
      </c>
      <c r="AD38" s="54"/>
      <c r="AE38" s="54"/>
      <c r="AF38" s="54" t="s">
        <v>392</v>
      </c>
      <c r="AG38" s="56"/>
      <c r="AH38" s="56"/>
      <c r="AI38" s="54" t="s">
        <v>340</v>
      </c>
      <c r="AJ38" s="54" t="s">
        <v>308</v>
      </c>
      <c r="AK38" s="54"/>
      <c r="AL38" s="56"/>
      <c r="AM38" s="56" t="s">
        <v>340</v>
      </c>
      <c r="AN38" s="54" t="s">
        <v>393</v>
      </c>
      <c r="AO38" s="56">
        <v>3</v>
      </c>
      <c r="AP38" s="54" t="s">
        <v>311</v>
      </c>
      <c r="AQ38" s="56"/>
      <c r="AR38" s="54"/>
      <c r="AS38" s="54"/>
      <c r="AT38" s="54"/>
      <c r="AU38" s="59">
        <v>46270</v>
      </c>
      <c r="AV38" s="54" t="s">
        <v>367</v>
      </c>
      <c r="AW38" s="54" t="s">
        <v>139</v>
      </c>
      <c r="AX38" s="59"/>
      <c r="AY38" s="59">
        <v>46268</v>
      </c>
      <c r="AZ38" s="59">
        <v>46270</v>
      </c>
      <c r="BA38" s="60" t="str">
        <f>IFERROR(VLOOKUP(B38,'02_DS_Nhan_Viec'!B:L,5,0),"")</f>
        <v>⏳ Hôm nay là ngày hẹn - Chờ xác nhận</v>
      </c>
      <c r="BB38" s="54"/>
      <c r="BC38" s="61" t="str">
        <f t="array" ref="BC38">IF($B38="","",IF(IFERROR(INDEX('02_DS_Nhan_Viec'!$J:$J,MATCH($B38,'02_DS_Nhan_Viec'!$B:$B,0)),"")="","Đang theo dõi",IF(OR(IFERROR(INDEX('05_Theo_Doi_Gio_Cong_7_Ngay'!$R:$R,MATCH(IFERROR(INDEX('02_DS_Nhan_Viec'!$J:$J,MATCH($B38,'02_DS_Nhan_Viec'!$B:$B,0)),""),'05_Theo_Doi_Gio_Cong_7_Ngay'!$B:$B,0)),"")="",IFERROR(INDEX('05_Theo_Doi_Gio_Cong_7_Ngay'!$R:$R,MATCH(IFERROR(INDEX('02_DS_Nhan_Viec'!$J:$J,MATCH($B38,'02_DS_Nhan_Viec'!$B:$B,0)),""),'05_Theo_Doi_Gio_Cong_7_Ngay'!$B:$B,0)),0)=0),"Đang theo dõi",IFERROR(INDEX('06_DS_Chinh_Thuc'!$K:$K,MATCH(IFERROR(INDEX('05_Theo_Doi_Gio_Cong_7_Ngay'!$R:$R,MATCH(IFERROR(INDEX('02_DS_Nhan_Viec'!$J:$J,MATCH($B38,'02_DS_Nhan_Viec'!$B:$B,0)),""),'05_Theo_Doi_Gio_Cong_7_Ngay'!$B:$B,0)),0),'06_DS_Chinh_Thuc'!$B:$B,0)),"Đang theo dõi"))))</f>
        <v>Đang theo dõi</v>
      </c>
    </row>
    <row r="39" ht="14.25" customHeight="1" spans="1:55" x14ac:dyDescent="0.25">
      <c r="A39" s="52">
        <f t="shared" si="0"/>
        <v>38</v>
      </c>
      <c r="B39" s="52" t="str">
        <f t="shared" si="1"/>
        <v>UV0926-004</v>
      </c>
      <c r="C39" s="53">
        <v>46268</v>
      </c>
      <c r="D39" s="54" t="s">
        <v>394</v>
      </c>
      <c r="E39" s="55" t="s">
        <v>395</v>
      </c>
      <c r="F39" s="56" t="s">
        <v>136</v>
      </c>
      <c r="G39" s="56">
        <v>1988</v>
      </c>
      <c r="H39" s="56" t="s">
        <v>263</v>
      </c>
      <c r="I39" s="54" t="s">
        <v>274</v>
      </c>
      <c r="J39" s="57" t="s">
        <v>396</v>
      </c>
      <c r="K39" s="59">
        <v>44317</v>
      </c>
      <c r="L39" s="54" t="s">
        <v>397</v>
      </c>
      <c r="M39" s="54" t="s">
        <v>398</v>
      </c>
      <c r="N39" s="54" t="s">
        <v>398</v>
      </c>
      <c r="O39" s="55" t="s">
        <v>299</v>
      </c>
      <c r="P39" s="54" t="s">
        <v>399</v>
      </c>
      <c r="Q39" s="58" t="s">
        <v>400</v>
      </c>
      <c r="R39" s="54" t="s">
        <v>401</v>
      </c>
      <c r="S39" s="54"/>
      <c r="T39" s="59">
        <v>46272</v>
      </c>
      <c r="U39" s="54"/>
      <c r="V39" s="54"/>
      <c r="W39" s="54"/>
      <c r="X39" s="54" t="s">
        <v>402</v>
      </c>
      <c r="Y39" s="54"/>
      <c r="Z39" s="54" t="s">
        <v>403</v>
      </c>
      <c r="AA39" s="54" t="s">
        <v>404</v>
      </c>
      <c r="AB39" s="54"/>
      <c r="AC39" s="54" t="s">
        <v>312</v>
      </c>
      <c r="AD39" s="54"/>
      <c r="AE39" s="54"/>
      <c r="AF39" s="54"/>
      <c r="AG39" s="56"/>
      <c r="AH39" s="56"/>
      <c r="AI39" s="54" t="s">
        <v>340</v>
      </c>
      <c r="AJ39" s="54" t="s">
        <v>308</v>
      </c>
      <c r="AK39" s="54"/>
      <c r="AL39" s="56"/>
      <c r="AM39" s="56" t="s">
        <v>405</v>
      </c>
      <c r="AN39" s="54" t="s">
        <v>406</v>
      </c>
      <c r="AO39" s="56">
        <v>10</v>
      </c>
      <c r="AP39" s="54" t="s">
        <v>407</v>
      </c>
      <c r="AQ39" s="56"/>
      <c r="AR39" s="54"/>
      <c r="AS39" s="54"/>
      <c r="AT39" s="54"/>
      <c r="AU39" s="59">
        <v>46272</v>
      </c>
      <c r="AV39" s="54" t="s">
        <v>367</v>
      </c>
      <c r="AW39" s="54" t="s">
        <v>139</v>
      </c>
      <c r="AX39" s="59"/>
      <c r="AY39" s="59">
        <v>46268</v>
      </c>
      <c r="AZ39" s="59">
        <v>46272</v>
      </c>
      <c r="BA39" s="60" t="str">
        <f>IFERROR(VLOOKUP(B39,'02_DS_Nhan_Viec'!B:L,5,0),"")</f>
        <v>🕓 Chưa đến ngày hẹn</v>
      </c>
      <c r="BB39" s="54"/>
      <c r="BC39" s="61" t="str">
        <f t="array" ref="BC39">IF($B39="","",IF(IFERROR(INDEX('02_DS_Nhan_Viec'!$J:$J,MATCH($B39,'02_DS_Nhan_Viec'!$B:$B,0)),"")="","Đang theo dõi",IF(OR(IFERROR(INDEX('05_Theo_Doi_Gio_Cong_7_Ngay'!$R:$R,MATCH(IFERROR(INDEX('02_DS_Nhan_Viec'!$J:$J,MATCH($B39,'02_DS_Nhan_Viec'!$B:$B,0)),""),'05_Theo_Doi_Gio_Cong_7_Ngay'!$B:$B,0)),"")="",IFERROR(INDEX('05_Theo_Doi_Gio_Cong_7_Ngay'!$R:$R,MATCH(IFERROR(INDEX('02_DS_Nhan_Viec'!$J:$J,MATCH($B39,'02_DS_Nhan_Viec'!$B:$B,0)),""),'05_Theo_Doi_Gio_Cong_7_Ngay'!$B:$B,0)),0)=0),"Đang theo dõi",IFERROR(INDEX('06_DS_Chinh_Thuc'!$K:$K,MATCH(IFERROR(INDEX('05_Theo_Doi_Gio_Cong_7_Ngay'!$R:$R,MATCH(IFERROR(INDEX('02_DS_Nhan_Viec'!$J:$J,MATCH($B39,'02_DS_Nhan_Viec'!$B:$B,0)),""),'05_Theo_Doi_Gio_Cong_7_Ngay'!$B:$B,0)),0),'06_DS_Chinh_Thuc'!$B:$B,0)),"Đang theo dõi"))))</f>
        <v>Đang theo dõi</v>
      </c>
    </row>
    <row r="40" ht="14.25" customHeight="1" spans="1:55" x14ac:dyDescent="0.25">
      <c r="A40" s="52">
        <f t="shared" si="0"/>
        <v>39</v>
      </c>
      <c r="B40" s="52" t="str">
        <f t="shared" si="1"/>
        <v>UV0926-005</v>
      </c>
      <c r="C40" s="53">
        <v>46269</v>
      </c>
      <c r="D40" s="54" t="s">
        <v>408</v>
      </c>
      <c r="E40" s="55" t="s">
        <v>409</v>
      </c>
      <c r="F40" s="56" t="s">
        <v>144</v>
      </c>
      <c r="G40" s="56">
        <v>2008</v>
      </c>
      <c r="H40" s="56" t="s">
        <v>263</v>
      </c>
      <c r="I40" s="54" t="s">
        <v>369</v>
      </c>
      <c r="J40" s="57" t="s">
        <v>410</v>
      </c>
      <c r="K40" s="59">
        <v>44941</v>
      </c>
      <c r="L40" s="54" t="s">
        <v>170</v>
      </c>
      <c r="M40" s="54" t="s">
        <v>411</v>
      </c>
      <c r="N40" s="54" t="s">
        <v>411</v>
      </c>
      <c r="O40" s="55" t="s">
        <v>412</v>
      </c>
      <c r="P40" s="54" t="s">
        <v>413</v>
      </c>
      <c r="Q40" s="58" t="s">
        <v>414</v>
      </c>
      <c r="R40" s="54" t="s">
        <v>303</v>
      </c>
      <c r="S40" s="54" t="s">
        <v>303</v>
      </c>
      <c r="T40" s="59">
        <v>46270</v>
      </c>
      <c r="U40" s="54" t="s">
        <v>415</v>
      </c>
      <c r="V40" s="54" t="s">
        <v>416</v>
      </c>
      <c r="W40" s="54" t="s">
        <v>417</v>
      </c>
      <c r="X40" s="54" t="s">
        <v>418</v>
      </c>
      <c r="Y40" s="54"/>
      <c r="Z40" s="54" t="s">
        <v>419</v>
      </c>
      <c r="AA40" s="54" t="s">
        <v>420</v>
      </c>
      <c r="AB40" s="54"/>
      <c r="AC40" s="54" t="s">
        <v>421</v>
      </c>
      <c r="AD40" s="54"/>
      <c r="AE40" s="54"/>
      <c r="AF40" s="54" t="s">
        <v>422</v>
      </c>
      <c r="AG40" s="56"/>
      <c r="AH40" s="56"/>
      <c r="AI40" s="54" t="s">
        <v>340</v>
      </c>
      <c r="AJ40" s="54" t="s">
        <v>308</v>
      </c>
      <c r="AK40" s="54"/>
      <c r="AL40" s="56"/>
      <c r="AM40" s="56"/>
      <c r="AN40" s="54" t="s">
        <v>393</v>
      </c>
      <c r="AO40" s="56">
        <v>2</v>
      </c>
      <c r="AP40" s="54" t="s">
        <v>423</v>
      </c>
      <c r="AQ40" s="56"/>
      <c r="AR40" s="54"/>
      <c r="AS40" s="54"/>
      <c r="AT40" s="54"/>
      <c r="AU40" s="59">
        <v>46270</v>
      </c>
      <c r="AV40" s="54" t="s">
        <v>367</v>
      </c>
      <c r="AW40" s="54" t="s">
        <v>139</v>
      </c>
      <c r="AX40" s="59"/>
      <c r="AY40" s="59">
        <v>46269</v>
      </c>
      <c r="AZ40" s="59">
        <v>46270</v>
      </c>
      <c r="BA40" s="60" t="str">
        <f>IFERROR(VLOOKUP(B40,'02_DS_Nhan_Viec'!B:L,5,0),"")</f>
        <v>✅ Đã nhận việc - Đúng hẹn</v>
      </c>
      <c r="BB40" s="54"/>
      <c r="BC40" s="61" t="str">
        <f t="array" ref="BC40">IF($B40="","",IF(IFERROR(INDEX('02_DS_Nhan_Viec'!$J:$J,MATCH($B40,'02_DS_Nhan_Viec'!$B:$B,0)),"")="","Đang theo dõi",IF(OR(IFERROR(INDEX('05_Theo_Doi_Gio_Cong_7_Ngay'!$R:$R,MATCH(IFERROR(INDEX('02_DS_Nhan_Viec'!$J:$J,MATCH($B40,'02_DS_Nhan_Viec'!$B:$B,0)),""),'05_Theo_Doi_Gio_Cong_7_Ngay'!$B:$B,0)),"")="",IFERROR(INDEX('05_Theo_Doi_Gio_Cong_7_Ngay'!$R:$R,MATCH(IFERROR(INDEX('02_DS_Nhan_Viec'!$J:$J,MATCH($B40,'02_DS_Nhan_Viec'!$B:$B,0)),""),'05_Theo_Doi_Gio_Cong_7_Ngay'!$B:$B,0)),0)=0),"Đang theo dõi",IFERROR(INDEX('06_DS_Chinh_Thuc'!$K:$K,MATCH(IFERROR(INDEX('05_Theo_Doi_Gio_Cong_7_Ngay'!$R:$R,MATCH(IFERROR(INDEX('02_DS_Nhan_Viec'!$J:$J,MATCH($B40,'02_DS_Nhan_Viec'!$B:$B,0)),""),'05_Theo_Doi_Gio_Cong_7_Ngay'!$B:$B,0)),0),'06_DS_Chinh_Thuc'!$B:$B,0)),"Đang theo dõi"))))</f>
        <v>Đang theo dõi</v>
      </c>
    </row>
    <row r="41" ht="14.25" customHeight="1" spans="1:55" x14ac:dyDescent="0.25">
      <c r="A41" s="52">
        <f t="shared" si="0"/>
        <v>40</v>
      </c>
      <c r="B41" s="52" t="str">
        <f t="shared" si="1"/>
        <v>UV0926-006</v>
      </c>
      <c r="C41" s="53">
        <v>46269</v>
      </c>
      <c r="D41" s="54" t="s">
        <v>424</v>
      </c>
      <c r="E41" s="55" t="s">
        <v>425</v>
      </c>
      <c r="F41" s="56" t="s">
        <v>136</v>
      </c>
      <c r="G41" s="56">
        <v>1986</v>
      </c>
      <c r="H41" s="56" t="s">
        <v>263</v>
      </c>
      <c r="I41" s="54" t="s">
        <v>274</v>
      </c>
      <c r="J41" s="57" t="s">
        <v>426</v>
      </c>
      <c r="K41" s="59">
        <v>46219</v>
      </c>
      <c r="L41" s="54" t="s">
        <v>170</v>
      </c>
      <c r="M41" s="54" t="s">
        <v>427</v>
      </c>
      <c r="N41" s="54" t="s">
        <v>428</v>
      </c>
      <c r="O41" s="55" t="s">
        <v>429</v>
      </c>
      <c r="P41" s="54" t="s">
        <v>430</v>
      </c>
      <c r="Q41" s="58" t="s">
        <v>431</v>
      </c>
      <c r="R41" s="54" t="s">
        <v>279</v>
      </c>
      <c r="S41" s="54"/>
      <c r="T41" s="59">
        <v>46272</v>
      </c>
      <c r="U41" s="54"/>
      <c r="V41" s="54"/>
      <c r="W41" s="54"/>
      <c r="X41" s="54" t="s">
        <v>354</v>
      </c>
      <c r="Y41" s="54"/>
      <c r="Z41" s="54" t="s">
        <v>432</v>
      </c>
      <c r="AA41" s="54" t="s">
        <v>433</v>
      </c>
      <c r="AB41" s="54"/>
      <c r="AC41" s="54" t="s">
        <v>434</v>
      </c>
      <c r="AD41" s="54"/>
      <c r="AE41" s="54"/>
      <c r="AF41" s="54"/>
      <c r="AG41" s="56"/>
      <c r="AH41" s="56"/>
      <c r="AI41" s="54"/>
      <c r="AJ41" s="54"/>
      <c r="AK41" s="54"/>
      <c r="AL41" s="56"/>
      <c r="AM41" s="56" t="s">
        <v>340</v>
      </c>
      <c r="AN41" s="54" t="s">
        <v>435</v>
      </c>
      <c r="AO41" s="56">
        <v>1</v>
      </c>
      <c r="AP41" s="54" t="s">
        <v>311</v>
      </c>
      <c r="AQ41" s="56"/>
      <c r="AR41" s="54"/>
      <c r="AS41" s="54"/>
      <c r="AT41" s="54"/>
      <c r="AU41" s="59">
        <v>46272</v>
      </c>
      <c r="AV41" s="54" t="s">
        <v>367</v>
      </c>
      <c r="AW41" s="54" t="s">
        <v>139</v>
      </c>
      <c r="AX41" s="59"/>
      <c r="AY41" s="59">
        <v>46269</v>
      </c>
      <c r="AZ41" s="59">
        <v>46272</v>
      </c>
      <c r="BA41" s="60" t="str">
        <f>IFERROR(VLOOKUP(B41,'02_DS_Nhan_Viec'!B:L,5,0),"")</f>
        <v>🕓 Chưa đến ngày hẹn</v>
      </c>
      <c r="BB41" s="54"/>
      <c r="BC41" s="61" t="str">
        <f t="array" ref="BC41">IF($B41="","",IF(IFERROR(INDEX('02_DS_Nhan_Viec'!$J:$J,MATCH($B41,'02_DS_Nhan_Viec'!$B:$B,0)),"")="","Đang theo dõi",IF(OR(IFERROR(INDEX('05_Theo_Doi_Gio_Cong_7_Ngay'!$R:$R,MATCH(IFERROR(INDEX('02_DS_Nhan_Viec'!$J:$J,MATCH($B41,'02_DS_Nhan_Viec'!$B:$B,0)),""),'05_Theo_Doi_Gio_Cong_7_Ngay'!$B:$B,0)),"")="",IFERROR(INDEX('05_Theo_Doi_Gio_Cong_7_Ngay'!$R:$R,MATCH(IFERROR(INDEX('02_DS_Nhan_Viec'!$J:$J,MATCH($B41,'02_DS_Nhan_Viec'!$B:$B,0)),""),'05_Theo_Doi_Gio_Cong_7_Ngay'!$B:$B,0)),0)=0),"Đang theo dõi",IFERROR(INDEX('06_DS_Chinh_Thuc'!$K:$K,MATCH(IFERROR(INDEX('05_Theo_Doi_Gio_Cong_7_Ngay'!$R:$R,MATCH(IFERROR(INDEX('02_DS_Nhan_Viec'!$J:$J,MATCH($B41,'02_DS_Nhan_Viec'!$B:$B,0)),""),'05_Theo_Doi_Gio_Cong_7_Ngay'!$B:$B,0)),0),'06_DS_Chinh_Thuc'!$B:$B,0)),"Đang theo dõi"))))</f>
        <v>Đang theo dõi</v>
      </c>
    </row>
    <row r="42" ht="14.25" customHeight="1" spans="1:55" x14ac:dyDescent="0.25">
      <c r="A42" s="52">
        <f t="shared" si="0"/>
        <v>41</v>
      </c>
      <c r="B42" s="52" t="str">
        <f t="shared" si="1"/>
        <v>UV0926-007</v>
      </c>
      <c r="C42" s="53">
        <v>46269</v>
      </c>
      <c r="D42" s="54" t="s">
        <v>436</v>
      </c>
      <c r="E42" s="55" t="s">
        <v>437</v>
      </c>
      <c r="F42" s="56" t="s">
        <v>136</v>
      </c>
      <c r="G42" s="56">
        <v>1982</v>
      </c>
      <c r="H42" s="56" t="s">
        <v>263</v>
      </c>
      <c r="I42" s="54" t="s">
        <v>274</v>
      </c>
      <c r="J42" s="57" t="s">
        <v>438</v>
      </c>
      <c r="K42" s="59">
        <v>44788</v>
      </c>
      <c r="L42" s="54" t="s">
        <v>439</v>
      </c>
      <c r="M42" s="54" t="s">
        <v>440</v>
      </c>
      <c r="N42" s="54" t="s">
        <v>441</v>
      </c>
      <c r="O42" s="55" t="s">
        <v>333</v>
      </c>
      <c r="P42" s="54" t="s">
        <v>442</v>
      </c>
      <c r="Q42" s="58" t="s">
        <v>443</v>
      </c>
      <c r="R42" s="54" t="s">
        <v>444</v>
      </c>
      <c r="S42" s="54"/>
      <c r="T42" s="59">
        <v>46272</v>
      </c>
      <c r="U42" s="54" t="s">
        <v>445</v>
      </c>
      <c r="V42" s="54"/>
      <c r="W42" s="54"/>
      <c r="X42" s="54" t="s">
        <v>446</v>
      </c>
      <c r="Y42" s="54" t="s">
        <v>447</v>
      </c>
      <c r="Z42" s="54" t="s">
        <v>448</v>
      </c>
      <c r="AA42" s="54" t="s">
        <v>322</v>
      </c>
      <c r="AB42" s="54"/>
      <c r="AC42" s="54" t="s">
        <v>449</v>
      </c>
      <c r="AD42" s="54"/>
      <c r="AE42" s="54"/>
      <c r="AF42" s="54" t="s">
        <v>450</v>
      </c>
      <c r="AG42" s="56"/>
      <c r="AH42" s="56"/>
      <c r="AI42" s="54" t="s">
        <v>405</v>
      </c>
      <c r="AJ42" s="54" t="s">
        <v>308</v>
      </c>
      <c r="AK42" s="54"/>
      <c r="AL42" s="56"/>
      <c r="AM42" s="56"/>
      <c r="AN42" s="54" t="s">
        <v>435</v>
      </c>
      <c r="AO42" s="56">
        <v>4</v>
      </c>
      <c r="AP42" s="54" t="s">
        <v>311</v>
      </c>
      <c r="AQ42" s="56"/>
      <c r="AR42" s="54"/>
      <c r="AS42" s="54"/>
      <c r="AT42" s="54"/>
      <c r="AU42" s="59">
        <v>46272</v>
      </c>
      <c r="AV42" s="54" t="s">
        <v>367</v>
      </c>
      <c r="AW42" s="54" t="s">
        <v>139</v>
      </c>
      <c r="AX42" s="59"/>
      <c r="AY42" s="59">
        <v>46269</v>
      </c>
      <c r="AZ42" s="59">
        <v>46272</v>
      </c>
      <c r="BA42" s="60" t="str">
        <f>IFERROR(VLOOKUP(B42,'02_DS_Nhan_Viec'!B:L,5,0),"")</f>
        <v>🕓 Chưa đến ngày hẹn</v>
      </c>
      <c r="BB42" s="54"/>
      <c r="BC42" s="61" t="str">
        <f t="array" ref="BC42">IF($B42="","",IF(IFERROR(INDEX('02_DS_Nhan_Viec'!$J:$J,MATCH($B42,'02_DS_Nhan_Viec'!$B:$B,0)),"")="","Đang theo dõi",IF(OR(IFERROR(INDEX('05_Theo_Doi_Gio_Cong_7_Ngay'!$R:$R,MATCH(IFERROR(INDEX('02_DS_Nhan_Viec'!$J:$J,MATCH($B42,'02_DS_Nhan_Viec'!$B:$B,0)),""),'05_Theo_Doi_Gio_Cong_7_Ngay'!$B:$B,0)),"")="",IFERROR(INDEX('05_Theo_Doi_Gio_Cong_7_Ngay'!$R:$R,MATCH(IFERROR(INDEX('02_DS_Nhan_Viec'!$J:$J,MATCH($B42,'02_DS_Nhan_Viec'!$B:$B,0)),""),'05_Theo_Doi_Gio_Cong_7_Ngay'!$B:$B,0)),0)=0),"Đang theo dõi",IFERROR(INDEX('06_DS_Chinh_Thuc'!$K:$K,MATCH(IFERROR(INDEX('05_Theo_Doi_Gio_Cong_7_Ngay'!$R:$R,MATCH(IFERROR(INDEX('02_DS_Nhan_Viec'!$J:$J,MATCH($B42,'02_DS_Nhan_Viec'!$B:$B,0)),""),'05_Theo_Doi_Gio_Cong_7_Ngay'!$B:$B,0)),0),'06_DS_Chinh_Thuc'!$B:$B,0)),"Đang theo dõi"))))</f>
        <v>Đang theo dõi</v>
      </c>
    </row>
    <row r="43" ht="14.25" customHeight="1" spans="1:55" x14ac:dyDescent="0.25">
      <c r="A43" s="52">
        <f t="shared" si="0"/>
        <v>42</v>
      </c>
      <c r="B43" s="52" t="str">
        <f t="shared" si="1"/>
        <v>UV0926-008</v>
      </c>
      <c r="C43" s="53">
        <v>46269</v>
      </c>
      <c r="D43" s="54" t="s">
        <v>451</v>
      </c>
      <c r="E43" s="55" t="s">
        <v>452</v>
      </c>
      <c r="F43" s="56" t="s">
        <v>144</v>
      </c>
      <c r="G43" s="56">
        <v>1990</v>
      </c>
      <c r="H43" s="56" t="s">
        <v>263</v>
      </c>
      <c r="I43" s="54" t="s">
        <v>369</v>
      </c>
      <c r="J43" s="57" t="s">
        <v>453</v>
      </c>
      <c r="K43" s="59">
        <v>44873</v>
      </c>
      <c r="L43" s="54" t="s">
        <v>454</v>
      </c>
      <c r="M43" s="54" t="s">
        <v>455</v>
      </c>
      <c r="N43" s="54" t="s">
        <v>456</v>
      </c>
      <c r="O43" s="55" t="s">
        <v>266</v>
      </c>
      <c r="P43" s="54" t="s">
        <v>457</v>
      </c>
      <c r="Q43" s="58" t="s">
        <v>452</v>
      </c>
      <c r="R43" s="54" t="s">
        <v>458</v>
      </c>
      <c r="S43" s="54"/>
      <c r="T43" s="59">
        <v>46272</v>
      </c>
      <c r="U43" s="54"/>
      <c r="V43" s="54"/>
      <c r="W43" s="54"/>
      <c r="X43" s="54"/>
      <c r="Y43" s="54"/>
      <c r="Z43" s="54" t="s">
        <v>459</v>
      </c>
      <c r="AA43" s="54" t="s">
        <v>458</v>
      </c>
      <c r="AB43" s="54"/>
      <c r="AC43" s="54"/>
      <c r="AD43" s="54"/>
      <c r="AE43" s="54"/>
      <c r="AF43" s="54" t="s">
        <v>460</v>
      </c>
      <c r="AG43" s="56"/>
      <c r="AH43" s="56"/>
      <c r="AI43" s="54" t="s">
        <v>340</v>
      </c>
      <c r="AJ43" s="54" t="s">
        <v>308</v>
      </c>
      <c r="AK43" s="54"/>
      <c r="AL43" s="56"/>
      <c r="AM43" s="56"/>
      <c r="AN43" s="54" t="s">
        <v>435</v>
      </c>
      <c r="AO43" s="56"/>
      <c r="AP43" s="54" t="s">
        <v>311</v>
      </c>
      <c r="AQ43" s="56"/>
      <c r="AR43" s="54"/>
      <c r="AS43" s="54"/>
      <c r="AT43" s="54"/>
      <c r="AU43" s="59">
        <v>46272</v>
      </c>
      <c r="AV43" s="54" t="s">
        <v>367</v>
      </c>
      <c r="AW43" s="54" t="s">
        <v>139</v>
      </c>
      <c r="AX43" s="59"/>
      <c r="AY43" s="59">
        <v>46269</v>
      </c>
      <c r="AZ43" s="59">
        <v>46272</v>
      </c>
      <c r="BA43" s="60" t="str">
        <f>IFERROR(VLOOKUP(B43,'02_DS_Nhan_Viec'!B:L,5,0),"")</f>
        <v>🕓 Chưa đến ngày hẹn</v>
      </c>
      <c r="BB43" s="54"/>
      <c r="BC43" s="61" t="str">
        <f t="array" ref="BC43">IF($B43="","",IF(IFERROR(INDEX('02_DS_Nhan_Viec'!$J:$J,MATCH($B43,'02_DS_Nhan_Viec'!$B:$B,0)),"")="","Đang theo dõi",IF(OR(IFERROR(INDEX('05_Theo_Doi_Gio_Cong_7_Ngay'!$R:$R,MATCH(IFERROR(INDEX('02_DS_Nhan_Viec'!$J:$J,MATCH($B43,'02_DS_Nhan_Viec'!$B:$B,0)),""),'05_Theo_Doi_Gio_Cong_7_Ngay'!$B:$B,0)),"")="",IFERROR(INDEX('05_Theo_Doi_Gio_Cong_7_Ngay'!$R:$R,MATCH(IFERROR(INDEX('02_DS_Nhan_Viec'!$J:$J,MATCH($B43,'02_DS_Nhan_Viec'!$B:$B,0)),""),'05_Theo_Doi_Gio_Cong_7_Ngay'!$B:$B,0)),0)=0),"Đang theo dõi",IFERROR(INDEX('06_DS_Chinh_Thuc'!$K:$K,MATCH(IFERROR(INDEX('05_Theo_Doi_Gio_Cong_7_Ngay'!$R:$R,MATCH(IFERROR(INDEX('02_DS_Nhan_Viec'!$J:$J,MATCH($B43,'02_DS_Nhan_Viec'!$B:$B,0)),""),'05_Theo_Doi_Gio_Cong_7_Ngay'!$B:$B,0)),0),'06_DS_Chinh_Thuc'!$B:$B,0)),"Đang theo dõi"))))</f>
        <v>Đang theo dõi</v>
      </c>
    </row>
    <row r="44" ht="14.25" customHeight="1" spans="1:55" x14ac:dyDescent="0.25">
      <c r="A44" s="52">
        <f t="shared" si="0"/>
        <v>43</v>
      </c>
      <c r="B44" s="52" t="str">
        <f t="shared" si="1"/>
        <v>UV0926-009</v>
      </c>
      <c r="C44" s="53">
        <v>46270</v>
      </c>
      <c r="D44" s="54" t="s">
        <v>461</v>
      </c>
      <c r="E44" s="55" t="s">
        <v>462</v>
      </c>
      <c r="F44" s="56" t="s">
        <v>136</v>
      </c>
      <c r="G44" s="56">
        <v>1987</v>
      </c>
      <c r="H44" s="56" t="s">
        <v>263</v>
      </c>
      <c r="I44" s="54" t="s">
        <v>274</v>
      </c>
      <c r="J44" s="57" t="s">
        <v>463</v>
      </c>
      <c r="K44" s="59">
        <v>44796</v>
      </c>
      <c r="L44" s="54" t="s">
        <v>439</v>
      </c>
      <c r="M44" s="54" t="s">
        <v>464</v>
      </c>
      <c r="N44" s="54" t="s">
        <v>465</v>
      </c>
      <c r="O44" s="55" t="s">
        <v>333</v>
      </c>
      <c r="P44" s="54" t="s">
        <v>466</v>
      </c>
      <c r="Q44" s="58" t="s">
        <v>467</v>
      </c>
      <c r="R44" s="54" t="s">
        <v>167</v>
      </c>
      <c r="S44" s="54" t="s">
        <v>322</v>
      </c>
      <c r="T44" s="59">
        <v>46272</v>
      </c>
      <c r="U44" s="54"/>
      <c r="V44" s="54"/>
      <c r="W44" s="54"/>
      <c r="X44" s="54" t="s">
        <v>468</v>
      </c>
      <c r="Y44" s="54"/>
      <c r="Z44" s="54" t="s">
        <v>469</v>
      </c>
      <c r="AA44" s="54" t="s">
        <v>470</v>
      </c>
      <c r="AB44" s="54"/>
      <c r="AC44" s="54" t="s">
        <v>471</v>
      </c>
      <c r="AD44" s="54" t="s">
        <v>472</v>
      </c>
      <c r="AE44" s="54"/>
      <c r="AF44" s="54" t="s">
        <v>473</v>
      </c>
      <c r="AG44" s="56"/>
      <c r="AH44" s="56"/>
      <c r="AI44" s="54" t="s">
        <v>340</v>
      </c>
      <c r="AJ44" s="54" t="s">
        <v>308</v>
      </c>
      <c r="AK44" s="54"/>
      <c r="AL44" s="56"/>
      <c r="AM44" s="56" t="s">
        <v>340</v>
      </c>
      <c r="AN44" s="54" t="s">
        <v>435</v>
      </c>
      <c r="AO44" s="56">
        <v>4</v>
      </c>
      <c r="AP44" s="54" t="s">
        <v>311</v>
      </c>
      <c r="AQ44" s="56"/>
      <c r="AR44" s="54"/>
      <c r="AS44" s="54"/>
      <c r="AT44" s="54"/>
      <c r="AU44" s="59">
        <v>46270</v>
      </c>
      <c r="AV44" s="54" t="s">
        <v>367</v>
      </c>
      <c r="AW44" s="54" t="s">
        <v>139</v>
      </c>
      <c r="AX44" s="59"/>
      <c r="AY44" s="59">
        <v>46270</v>
      </c>
      <c r="AZ44" s="59">
        <v>46272</v>
      </c>
      <c r="BA44" s="60" t="str">
        <f>IFERROR(VLOOKUP(B44,'02_DS_Nhan_Viec'!B:L,5,0),"")</f>
        <v>🕓 Chưa đến ngày hẹn</v>
      </c>
      <c r="BB44" s="54"/>
      <c r="BC44" s="61" t="str">
        <f t="array" ref="BC44">IF($B44="","",IF(IFERROR(INDEX('02_DS_Nhan_Viec'!$J:$J,MATCH($B44,'02_DS_Nhan_Viec'!$B:$B,0)),"")="","Đang theo dõi",IF(OR(IFERROR(INDEX('05_Theo_Doi_Gio_Cong_7_Ngay'!$R:$R,MATCH(IFERROR(INDEX('02_DS_Nhan_Viec'!$J:$J,MATCH($B44,'02_DS_Nhan_Viec'!$B:$B,0)),""),'05_Theo_Doi_Gio_Cong_7_Ngay'!$B:$B,0)),"")="",IFERROR(INDEX('05_Theo_Doi_Gio_Cong_7_Ngay'!$R:$R,MATCH(IFERROR(INDEX('02_DS_Nhan_Viec'!$J:$J,MATCH($B44,'02_DS_Nhan_Viec'!$B:$B,0)),""),'05_Theo_Doi_Gio_Cong_7_Ngay'!$B:$B,0)),0)=0),"Đang theo dõi",IFERROR(INDEX('06_DS_Chinh_Thuc'!$K:$K,MATCH(IFERROR(INDEX('05_Theo_Doi_Gio_Cong_7_Ngay'!$R:$R,MATCH(IFERROR(INDEX('02_DS_Nhan_Viec'!$J:$J,MATCH($B44,'02_DS_Nhan_Viec'!$B:$B,0)),""),'05_Theo_Doi_Gio_Cong_7_Ngay'!$B:$B,0)),0),'06_DS_Chinh_Thuc'!$B:$B,0)),"Đang theo dõi"))))</f>
        <v>Đang theo dõi</v>
      </c>
    </row>
    <row r="45" ht="14.25" customHeight="1" spans="1:55" x14ac:dyDescent="0.25">
      <c r="A45" s="52">
        <f t="shared" si="0"/>
        <v>44</v>
      </c>
      <c r="B45" s="52" t="str">
        <f t="shared" si="1"/>
        <v>UV0926-010</v>
      </c>
      <c r="C45" s="53">
        <v>46270</v>
      </c>
      <c r="D45" s="54" t="s">
        <v>474</v>
      </c>
      <c r="E45" s="55" t="s">
        <v>475</v>
      </c>
      <c r="F45" s="56" t="s">
        <v>136</v>
      </c>
      <c r="G45" s="56">
        <v>1983</v>
      </c>
      <c r="H45" s="56" t="s">
        <v>263</v>
      </c>
      <c r="I45" s="54" t="s">
        <v>369</v>
      </c>
      <c r="J45" s="57" t="s">
        <v>476</v>
      </c>
      <c r="K45" s="59">
        <v>44434</v>
      </c>
      <c r="L45" s="54" t="s">
        <v>477</v>
      </c>
      <c r="M45" s="54" t="s">
        <v>478</v>
      </c>
      <c r="N45" s="54" t="s">
        <v>479</v>
      </c>
      <c r="O45" s="55" t="s">
        <v>266</v>
      </c>
      <c r="P45" s="54" t="s">
        <v>480</v>
      </c>
      <c r="Q45" s="58" t="s">
        <v>481</v>
      </c>
      <c r="R45" s="54" t="s">
        <v>336</v>
      </c>
      <c r="S45" s="54" t="s">
        <v>322</v>
      </c>
      <c r="T45" s="59">
        <v>46272</v>
      </c>
      <c r="U45" s="54" t="s">
        <v>482</v>
      </c>
      <c r="V45" s="54"/>
      <c r="W45" s="54"/>
      <c r="X45" s="54" t="s">
        <v>483</v>
      </c>
      <c r="Y45" s="54"/>
      <c r="Z45" s="54" t="s">
        <v>469</v>
      </c>
      <c r="AA45" s="54" t="s">
        <v>470</v>
      </c>
      <c r="AB45" s="54"/>
      <c r="AC45" s="54" t="s">
        <v>378</v>
      </c>
      <c r="AD45" s="54" t="s">
        <v>484</v>
      </c>
      <c r="AE45" s="54"/>
      <c r="AF45" s="54" t="s">
        <v>485</v>
      </c>
      <c r="AG45" s="56"/>
      <c r="AH45" s="56"/>
      <c r="AI45" s="54" t="s">
        <v>340</v>
      </c>
      <c r="AJ45" s="54" t="s">
        <v>308</v>
      </c>
      <c r="AK45" s="54"/>
      <c r="AL45" s="56"/>
      <c r="AM45" s="56" t="s">
        <v>340</v>
      </c>
      <c r="AN45" s="54" t="s">
        <v>435</v>
      </c>
      <c r="AO45" s="56">
        <v>3</v>
      </c>
      <c r="AP45" s="54" t="s">
        <v>311</v>
      </c>
      <c r="AQ45" s="56"/>
      <c r="AR45" s="54"/>
      <c r="AS45" s="54"/>
      <c r="AT45" s="54"/>
      <c r="AU45" s="59">
        <v>46270</v>
      </c>
      <c r="AV45" s="54" t="s">
        <v>367</v>
      </c>
      <c r="AW45" s="54" t="s">
        <v>139</v>
      </c>
      <c r="AX45" s="59"/>
      <c r="AY45" s="59">
        <v>46270</v>
      </c>
      <c r="AZ45" s="59">
        <v>46272</v>
      </c>
      <c r="BA45" s="60" t="str">
        <f>IFERROR(VLOOKUP(B45,'02_DS_Nhan_Viec'!B:L,5,0),"")</f>
        <v>🕓 Chưa đến ngày hẹn</v>
      </c>
      <c r="BB45" s="54"/>
      <c r="BC45" s="61" t="str">
        <f t="array" ref="BC45">IF($B45="","",IF(IFERROR(INDEX('02_DS_Nhan_Viec'!$J:$J,MATCH($B45,'02_DS_Nhan_Viec'!$B:$B,0)),"")="","Đang theo dõi",IF(OR(IFERROR(INDEX('05_Theo_Doi_Gio_Cong_7_Ngay'!$R:$R,MATCH(IFERROR(INDEX('02_DS_Nhan_Viec'!$J:$J,MATCH($B45,'02_DS_Nhan_Viec'!$B:$B,0)),""),'05_Theo_Doi_Gio_Cong_7_Ngay'!$B:$B,0)),"")="",IFERROR(INDEX('05_Theo_Doi_Gio_Cong_7_Ngay'!$R:$R,MATCH(IFERROR(INDEX('02_DS_Nhan_Viec'!$J:$J,MATCH($B45,'02_DS_Nhan_Viec'!$B:$B,0)),""),'05_Theo_Doi_Gio_Cong_7_Ngay'!$B:$B,0)),0)=0),"Đang theo dõi",IFERROR(INDEX('06_DS_Chinh_Thuc'!$K:$K,MATCH(IFERROR(INDEX('05_Theo_Doi_Gio_Cong_7_Ngay'!$R:$R,MATCH(IFERROR(INDEX('02_DS_Nhan_Viec'!$J:$J,MATCH($B45,'02_DS_Nhan_Viec'!$B:$B,0)),""),'05_Theo_Doi_Gio_Cong_7_Ngay'!$B:$B,0)),0),'06_DS_Chinh_Thuc'!$B:$B,0)),"Đang theo dõi"))))</f>
        <v>Đang theo dõi</v>
      </c>
    </row>
    <row r="46" ht="14.25" customHeight="1" spans="1:55" x14ac:dyDescent="0.25">
      <c r="A46" s="52">
        <f t="shared" si="0"/>
      </c>
      <c r="B46" s="52">
        <f t="shared" si="1"/>
      </c>
      <c r="C46" s="53"/>
      <c r="D46" s="54"/>
      <c r="E46" s="55"/>
      <c r="F46" s="56"/>
      <c r="G46" s="56"/>
      <c r="H46" s="56"/>
      <c r="I46" s="54"/>
      <c r="J46" s="57"/>
      <c r="K46" s="59"/>
      <c r="L46" s="54"/>
      <c r="M46" s="54"/>
      <c r="N46" s="54"/>
      <c r="O46" s="55"/>
      <c r="P46" s="54"/>
      <c r="Q46" s="58"/>
      <c r="R46" s="54"/>
      <c r="S46" s="54"/>
      <c r="T46" s="59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6"/>
      <c r="AH46" s="56"/>
      <c r="AI46" s="54"/>
      <c r="AJ46" s="54"/>
      <c r="AK46" s="54"/>
      <c r="AL46" s="56"/>
      <c r="AM46" s="56"/>
      <c r="AN46" s="54"/>
      <c r="AO46" s="56"/>
      <c r="AP46" s="54"/>
      <c r="AQ46" s="56"/>
      <c r="AR46" s="54"/>
      <c r="AS46" s="54"/>
      <c r="AT46" s="54"/>
      <c r="AU46" s="59"/>
      <c r="AV46" s="54"/>
      <c r="AW46" s="54"/>
      <c r="AX46" s="59"/>
      <c r="AY46" s="59"/>
      <c r="AZ46" s="59"/>
      <c r="BA46" s="60">
        <f>IFERROR(VLOOKUP(B46,'02_DS_Nhan_Viec'!B:L,5,0),"")</f>
      </c>
      <c r="BB46" s="54"/>
      <c r="BC46" s="61">
        <f t="array" ref="BC46">IF($B46="","",IF(IFERROR(INDEX('02_DS_Nhan_Viec'!$J:$J,MATCH($B46,'02_DS_Nhan_Viec'!$B:$B,0)),"")="","Đang theo dõi",IF(OR(IFERROR(INDEX('05_Theo_Doi_Gio_Cong_7_Ngay'!$R:$R,MATCH(IFERROR(INDEX('02_DS_Nhan_Viec'!$J:$J,MATCH($B46,'02_DS_Nhan_Viec'!$B:$B,0)),""),'05_Theo_Doi_Gio_Cong_7_Ngay'!$B:$B,0)),"")="",IFERROR(INDEX('05_Theo_Doi_Gio_Cong_7_Ngay'!$R:$R,MATCH(IFERROR(INDEX('02_DS_Nhan_Viec'!$J:$J,MATCH($B46,'02_DS_Nhan_Viec'!$B:$B,0)),""),'05_Theo_Doi_Gio_Cong_7_Ngay'!$B:$B,0)),0)=0),"Đang theo dõi",IFERROR(INDEX('06_DS_Chinh_Thuc'!$K:$K,MATCH(IFERROR(INDEX('05_Theo_Doi_Gio_Cong_7_Ngay'!$R:$R,MATCH(IFERROR(INDEX('02_DS_Nhan_Viec'!$J:$J,MATCH($B46,'02_DS_Nhan_Viec'!$B:$B,0)),""),'05_Theo_Doi_Gio_Cong_7_Ngay'!$B:$B,0)),0),'06_DS_Chinh_Thuc'!$B:$B,0)),"Đang theo dõi"))))</f>
      </c>
    </row>
    <row r="47" ht="14.25" customHeight="1" spans="1:55" x14ac:dyDescent="0.25">
      <c r="A47" s="52">
        <f t="shared" si="0"/>
      </c>
      <c r="B47" s="52">
        <f t="shared" si="1"/>
      </c>
      <c r="C47" s="53"/>
      <c r="D47" s="54"/>
      <c r="E47" s="55"/>
      <c r="F47" s="56"/>
      <c r="G47" s="56"/>
      <c r="H47" s="56"/>
      <c r="I47" s="54"/>
      <c r="J47" s="57"/>
      <c r="K47" s="59"/>
      <c r="L47" s="54"/>
      <c r="M47" s="54"/>
      <c r="N47" s="54"/>
      <c r="O47" s="55"/>
      <c r="P47" s="54"/>
      <c r="Q47" s="58"/>
      <c r="R47" s="54"/>
      <c r="S47" s="54"/>
      <c r="T47" s="59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6"/>
      <c r="AH47" s="56"/>
      <c r="AI47" s="54"/>
      <c r="AJ47" s="54"/>
      <c r="AK47" s="54"/>
      <c r="AL47" s="56"/>
      <c r="AM47" s="56"/>
      <c r="AN47" s="54"/>
      <c r="AO47" s="56"/>
      <c r="AP47" s="54"/>
      <c r="AQ47" s="56"/>
      <c r="AR47" s="54"/>
      <c r="AS47" s="54"/>
      <c r="AT47" s="54"/>
      <c r="AU47" s="59"/>
      <c r="AV47" s="54"/>
      <c r="AW47" s="54"/>
      <c r="AX47" s="59"/>
      <c r="AY47" s="59"/>
      <c r="AZ47" s="59"/>
      <c r="BA47" s="60">
        <f>IFERROR(VLOOKUP(B47,'02_DS_Nhan_Viec'!B:L,5,0),"")</f>
      </c>
      <c r="BB47" s="54"/>
      <c r="BC47" s="61">
        <f t="array" ref="BC47">IF($B47="","",IF(IFERROR(INDEX('02_DS_Nhan_Viec'!$J:$J,MATCH($B47,'02_DS_Nhan_Viec'!$B:$B,0)),"")="","Đang theo dõi",IF(OR(IFERROR(INDEX('05_Theo_Doi_Gio_Cong_7_Ngay'!$R:$R,MATCH(IFERROR(INDEX('02_DS_Nhan_Viec'!$J:$J,MATCH($B47,'02_DS_Nhan_Viec'!$B:$B,0)),""),'05_Theo_Doi_Gio_Cong_7_Ngay'!$B:$B,0)),"")="",IFERROR(INDEX('05_Theo_Doi_Gio_Cong_7_Ngay'!$R:$R,MATCH(IFERROR(INDEX('02_DS_Nhan_Viec'!$J:$J,MATCH($B47,'02_DS_Nhan_Viec'!$B:$B,0)),""),'05_Theo_Doi_Gio_Cong_7_Ngay'!$B:$B,0)),0)=0),"Đang theo dõi",IFERROR(INDEX('06_DS_Chinh_Thuc'!$K:$K,MATCH(IFERROR(INDEX('05_Theo_Doi_Gio_Cong_7_Ngay'!$R:$R,MATCH(IFERROR(INDEX('02_DS_Nhan_Viec'!$J:$J,MATCH($B47,'02_DS_Nhan_Viec'!$B:$B,0)),""),'05_Theo_Doi_Gio_Cong_7_Ngay'!$B:$B,0)),0),'06_DS_Chinh_Thuc'!$B:$B,0)),"Đang theo dõi"))))</f>
      </c>
    </row>
    <row r="48" ht="14.25" customHeight="1" spans="1:55" x14ac:dyDescent="0.25">
      <c r="A48" s="52">
        <f t="shared" si="0"/>
      </c>
      <c r="B48" s="52">
        <f t="shared" si="1"/>
      </c>
      <c r="C48" s="53"/>
      <c r="D48" s="54"/>
      <c r="E48" s="55"/>
      <c r="F48" s="56"/>
      <c r="G48" s="56"/>
      <c r="H48" s="56"/>
      <c r="I48" s="54"/>
      <c r="J48" s="57"/>
      <c r="K48" s="59"/>
      <c r="L48" s="54"/>
      <c r="M48" s="54"/>
      <c r="N48" s="54"/>
      <c r="O48" s="55"/>
      <c r="P48" s="54"/>
      <c r="Q48" s="58"/>
      <c r="R48" s="54"/>
      <c r="S48" s="54"/>
      <c r="T48" s="59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6"/>
      <c r="AH48" s="56"/>
      <c r="AI48" s="54"/>
      <c r="AJ48" s="54"/>
      <c r="AK48" s="54"/>
      <c r="AL48" s="56"/>
      <c r="AM48" s="56"/>
      <c r="AN48" s="54"/>
      <c r="AO48" s="56"/>
      <c r="AP48" s="54"/>
      <c r="AQ48" s="56"/>
      <c r="AR48" s="54"/>
      <c r="AS48" s="54"/>
      <c r="AT48" s="54"/>
      <c r="AU48" s="59"/>
      <c r="AV48" s="54"/>
      <c r="AW48" s="54"/>
      <c r="AX48" s="59"/>
      <c r="AY48" s="59"/>
      <c r="AZ48" s="59"/>
      <c r="BA48" s="60">
        <f>IFERROR(VLOOKUP(B48,'02_DS_Nhan_Viec'!B:L,5,0),"")</f>
      </c>
      <c r="BB48" s="54"/>
      <c r="BC48" s="61">
        <f t="array" ref="BC48">IF($B48="","",IF(IFERROR(INDEX('02_DS_Nhan_Viec'!$J:$J,MATCH($B48,'02_DS_Nhan_Viec'!$B:$B,0)),"")="","Đang theo dõi",IF(OR(IFERROR(INDEX('05_Theo_Doi_Gio_Cong_7_Ngay'!$R:$R,MATCH(IFERROR(INDEX('02_DS_Nhan_Viec'!$J:$J,MATCH($B48,'02_DS_Nhan_Viec'!$B:$B,0)),""),'05_Theo_Doi_Gio_Cong_7_Ngay'!$B:$B,0)),"")="",IFERROR(INDEX('05_Theo_Doi_Gio_Cong_7_Ngay'!$R:$R,MATCH(IFERROR(INDEX('02_DS_Nhan_Viec'!$J:$J,MATCH($B48,'02_DS_Nhan_Viec'!$B:$B,0)),""),'05_Theo_Doi_Gio_Cong_7_Ngay'!$B:$B,0)),0)=0),"Đang theo dõi",IFERROR(INDEX('06_DS_Chinh_Thuc'!$K:$K,MATCH(IFERROR(INDEX('05_Theo_Doi_Gio_Cong_7_Ngay'!$R:$R,MATCH(IFERROR(INDEX('02_DS_Nhan_Viec'!$J:$J,MATCH($B48,'02_DS_Nhan_Viec'!$B:$B,0)),""),'05_Theo_Doi_Gio_Cong_7_Ngay'!$B:$B,0)),0),'06_DS_Chinh_Thuc'!$B:$B,0)),"Đang theo dõi"))))</f>
      </c>
    </row>
    <row r="49" ht="14.25" customHeight="1" spans="1:55" x14ac:dyDescent="0.25">
      <c r="A49" s="52">
        <f t="shared" si="0"/>
      </c>
      <c r="B49" s="52">
        <f t="shared" si="1"/>
      </c>
      <c r="C49" s="53"/>
      <c r="D49" s="54"/>
      <c r="E49" s="55"/>
      <c r="F49" s="56"/>
      <c r="G49" s="56"/>
      <c r="H49" s="56"/>
      <c r="I49" s="54"/>
      <c r="J49" s="57"/>
      <c r="K49" s="59"/>
      <c r="L49" s="54"/>
      <c r="M49" s="54"/>
      <c r="N49" s="54"/>
      <c r="O49" s="55"/>
      <c r="P49" s="54"/>
      <c r="Q49" s="58"/>
      <c r="R49" s="54"/>
      <c r="S49" s="54"/>
      <c r="T49" s="59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6"/>
      <c r="AH49" s="56"/>
      <c r="AI49" s="54"/>
      <c r="AJ49" s="54"/>
      <c r="AK49" s="54"/>
      <c r="AL49" s="56"/>
      <c r="AM49" s="56"/>
      <c r="AN49" s="54"/>
      <c r="AO49" s="56"/>
      <c r="AP49" s="54"/>
      <c r="AQ49" s="56"/>
      <c r="AR49" s="54"/>
      <c r="AS49" s="54"/>
      <c r="AT49" s="54"/>
      <c r="AU49" s="59"/>
      <c r="AV49" s="54"/>
      <c r="AW49" s="54"/>
      <c r="AX49" s="59"/>
      <c r="AY49" s="59"/>
      <c r="AZ49" s="59"/>
      <c r="BA49" s="60">
        <f>IFERROR(VLOOKUP(B49,'02_DS_Nhan_Viec'!B:L,5,0),"")</f>
      </c>
      <c r="BB49" s="54"/>
      <c r="BC49" s="61">
        <f t="array" ref="BC49">IF($B49="","",IF(IFERROR(INDEX('02_DS_Nhan_Viec'!$J:$J,MATCH($B49,'02_DS_Nhan_Viec'!$B:$B,0)),"")="","Đang theo dõi",IF(OR(IFERROR(INDEX('05_Theo_Doi_Gio_Cong_7_Ngay'!$R:$R,MATCH(IFERROR(INDEX('02_DS_Nhan_Viec'!$J:$J,MATCH($B49,'02_DS_Nhan_Viec'!$B:$B,0)),""),'05_Theo_Doi_Gio_Cong_7_Ngay'!$B:$B,0)),"")="",IFERROR(INDEX('05_Theo_Doi_Gio_Cong_7_Ngay'!$R:$R,MATCH(IFERROR(INDEX('02_DS_Nhan_Viec'!$J:$J,MATCH($B49,'02_DS_Nhan_Viec'!$B:$B,0)),""),'05_Theo_Doi_Gio_Cong_7_Ngay'!$B:$B,0)),0)=0),"Đang theo dõi",IFERROR(INDEX('06_DS_Chinh_Thuc'!$K:$K,MATCH(IFERROR(INDEX('05_Theo_Doi_Gio_Cong_7_Ngay'!$R:$R,MATCH(IFERROR(INDEX('02_DS_Nhan_Viec'!$J:$J,MATCH($B49,'02_DS_Nhan_Viec'!$B:$B,0)),""),'05_Theo_Doi_Gio_Cong_7_Ngay'!$B:$B,0)),0),'06_DS_Chinh_Thuc'!$B:$B,0)),"Đang theo dõi"))))</f>
      </c>
    </row>
    <row r="50" ht="14.25" customHeight="1" spans="1:55" x14ac:dyDescent="0.25">
      <c r="A50" s="52">
        <f t="shared" si="0"/>
      </c>
      <c r="B50" s="52">
        <f t="shared" si="1"/>
      </c>
      <c r="C50" s="53"/>
      <c r="D50" s="54"/>
      <c r="E50" s="55"/>
      <c r="F50" s="56"/>
      <c r="G50" s="56"/>
      <c r="H50" s="56"/>
      <c r="I50" s="54"/>
      <c r="J50" s="57"/>
      <c r="K50" s="59"/>
      <c r="L50" s="54"/>
      <c r="M50" s="54"/>
      <c r="N50" s="54"/>
      <c r="O50" s="55"/>
      <c r="P50" s="54"/>
      <c r="Q50" s="58"/>
      <c r="R50" s="54"/>
      <c r="S50" s="54"/>
      <c r="T50" s="59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6"/>
      <c r="AH50" s="56"/>
      <c r="AI50" s="54"/>
      <c r="AJ50" s="54"/>
      <c r="AK50" s="54"/>
      <c r="AL50" s="56"/>
      <c r="AM50" s="56"/>
      <c r="AN50" s="54"/>
      <c r="AO50" s="56"/>
      <c r="AP50" s="54"/>
      <c r="AQ50" s="56"/>
      <c r="AR50" s="54"/>
      <c r="AS50" s="54"/>
      <c r="AT50" s="54"/>
      <c r="AU50" s="59"/>
      <c r="AV50" s="54"/>
      <c r="AW50" s="54"/>
      <c r="AX50" s="59"/>
      <c r="AY50" s="59"/>
      <c r="AZ50" s="59"/>
      <c r="BA50" s="60">
        <f>IFERROR(VLOOKUP(B50,'02_DS_Nhan_Viec'!B:L,5,0),"")</f>
      </c>
      <c r="BB50" s="54"/>
      <c r="BC50" s="61">
        <f t="array" ref="BC50">IF($B50="","",IF(IFERROR(INDEX('02_DS_Nhan_Viec'!$J:$J,MATCH($B50,'02_DS_Nhan_Viec'!$B:$B,0)),"")="","Đang theo dõi",IF(OR(IFERROR(INDEX('05_Theo_Doi_Gio_Cong_7_Ngay'!$R:$R,MATCH(IFERROR(INDEX('02_DS_Nhan_Viec'!$J:$J,MATCH($B50,'02_DS_Nhan_Viec'!$B:$B,0)),""),'05_Theo_Doi_Gio_Cong_7_Ngay'!$B:$B,0)),"")="",IFERROR(INDEX('05_Theo_Doi_Gio_Cong_7_Ngay'!$R:$R,MATCH(IFERROR(INDEX('02_DS_Nhan_Viec'!$J:$J,MATCH($B50,'02_DS_Nhan_Viec'!$B:$B,0)),""),'05_Theo_Doi_Gio_Cong_7_Ngay'!$B:$B,0)),0)=0),"Đang theo dõi",IFERROR(INDEX('06_DS_Chinh_Thuc'!$K:$K,MATCH(IFERROR(INDEX('05_Theo_Doi_Gio_Cong_7_Ngay'!$R:$R,MATCH(IFERROR(INDEX('02_DS_Nhan_Viec'!$J:$J,MATCH($B50,'02_DS_Nhan_Viec'!$B:$B,0)),""),'05_Theo_Doi_Gio_Cong_7_Ngay'!$B:$B,0)),0),'06_DS_Chinh_Thuc'!$B:$B,0)),"Đang theo dõi"))))</f>
      </c>
    </row>
    <row r="51" ht="14.25" customHeight="1" spans="1:55" x14ac:dyDescent="0.25">
      <c r="A51" s="52">
        <f t="shared" si="0"/>
      </c>
      <c r="B51" s="52">
        <f t="shared" si="1"/>
      </c>
      <c r="C51" s="53"/>
      <c r="D51" s="54"/>
      <c r="E51" s="55"/>
      <c r="F51" s="56"/>
      <c r="G51" s="56"/>
      <c r="H51" s="56"/>
      <c r="I51" s="54"/>
      <c r="J51" s="57"/>
      <c r="K51" s="59"/>
      <c r="L51" s="54"/>
      <c r="M51" s="54"/>
      <c r="N51" s="54"/>
      <c r="O51" s="55"/>
      <c r="P51" s="54"/>
      <c r="Q51" s="58"/>
      <c r="R51" s="54"/>
      <c r="S51" s="54"/>
      <c r="T51" s="59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6"/>
      <c r="AH51" s="56"/>
      <c r="AI51" s="54"/>
      <c r="AJ51" s="54"/>
      <c r="AK51" s="54"/>
      <c r="AL51" s="56"/>
      <c r="AM51" s="56"/>
      <c r="AN51" s="54"/>
      <c r="AO51" s="56"/>
      <c r="AP51" s="54"/>
      <c r="AQ51" s="56"/>
      <c r="AR51" s="54"/>
      <c r="AS51" s="54"/>
      <c r="AT51" s="54"/>
      <c r="AU51" s="59"/>
      <c r="AV51" s="54"/>
      <c r="AW51" s="54"/>
      <c r="AX51" s="59"/>
      <c r="AY51" s="59"/>
      <c r="AZ51" s="59"/>
      <c r="BA51" s="60">
        <f>IFERROR(VLOOKUP(B51,'02_DS_Nhan_Viec'!B:L,5,0),"")</f>
      </c>
      <c r="BB51" s="54"/>
      <c r="BC51" s="61">
        <f t="array" ref="BC51">IF($B51="","",IF(IFERROR(INDEX('02_DS_Nhan_Viec'!$J:$J,MATCH($B51,'02_DS_Nhan_Viec'!$B:$B,0)),"")="","Đang theo dõi",IF(OR(IFERROR(INDEX('05_Theo_Doi_Gio_Cong_7_Ngay'!$R:$R,MATCH(IFERROR(INDEX('02_DS_Nhan_Viec'!$J:$J,MATCH($B51,'02_DS_Nhan_Viec'!$B:$B,0)),""),'05_Theo_Doi_Gio_Cong_7_Ngay'!$B:$B,0)),"")="",IFERROR(INDEX('05_Theo_Doi_Gio_Cong_7_Ngay'!$R:$R,MATCH(IFERROR(INDEX('02_DS_Nhan_Viec'!$J:$J,MATCH($B51,'02_DS_Nhan_Viec'!$B:$B,0)),""),'05_Theo_Doi_Gio_Cong_7_Ngay'!$B:$B,0)),0)=0),"Đang theo dõi",IFERROR(INDEX('06_DS_Chinh_Thuc'!$K:$K,MATCH(IFERROR(INDEX('05_Theo_Doi_Gio_Cong_7_Ngay'!$R:$R,MATCH(IFERROR(INDEX('02_DS_Nhan_Viec'!$J:$J,MATCH($B51,'02_DS_Nhan_Viec'!$B:$B,0)),""),'05_Theo_Doi_Gio_Cong_7_Ngay'!$B:$B,0)),0),'06_DS_Chinh_Thuc'!$B:$B,0)),"Đang theo dõi"))))</f>
      </c>
    </row>
    <row r="52" ht="14.25" customHeight="1" spans="1:55" x14ac:dyDescent="0.25">
      <c r="A52" s="52">
        <f t="shared" si="0"/>
      </c>
      <c r="B52" s="52">
        <f t="shared" si="1"/>
      </c>
      <c r="C52" s="53"/>
      <c r="D52" s="54"/>
      <c r="E52" s="55"/>
      <c r="F52" s="56"/>
      <c r="G52" s="56"/>
      <c r="H52" s="56"/>
      <c r="I52" s="54"/>
      <c r="J52" s="57"/>
      <c r="K52" s="59"/>
      <c r="L52" s="54"/>
      <c r="M52" s="54"/>
      <c r="N52" s="54"/>
      <c r="O52" s="55"/>
      <c r="P52" s="54"/>
      <c r="Q52" s="58"/>
      <c r="R52" s="54"/>
      <c r="S52" s="54"/>
      <c r="T52" s="59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6"/>
      <c r="AH52" s="56"/>
      <c r="AI52" s="54"/>
      <c r="AJ52" s="54"/>
      <c r="AK52" s="54"/>
      <c r="AL52" s="56"/>
      <c r="AM52" s="56"/>
      <c r="AN52" s="54"/>
      <c r="AO52" s="56"/>
      <c r="AP52" s="54"/>
      <c r="AQ52" s="56"/>
      <c r="AR52" s="54"/>
      <c r="AS52" s="54"/>
      <c r="AT52" s="54"/>
      <c r="AU52" s="59"/>
      <c r="AV52" s="54"/>
      <c r="AW52" s="54"/>
      <c r="AX52" s="59"/>
      <c r="AY52" s="59"/>
      <c r="AZ52" s="59"/>
      <c r="BA52" s="60">
        <f>IFERROR(VLOOKUP(B52,'02_DS_Nhan_Viec'!B:L,5,0),"")</f>
      </c>
      <c r="BB52" s="54"/>
      <c r="BC52" s="61">
        <f t="array" ref="BC52">IF($B52="","",IF(IFERROR(INDEX('02_DS_Nhan_Viec'!$J:$J,MATCH($B52,'02_DS_Nhan_Viec'!$B:$B,0)),"")="","Đang theo dõi",IF(OR(IFERROR(INDEX('05_Theo_Doi_Gio_Cong_7_Ngay'!$R:$R,MATCH(IFERROR(INDEX('02_DS_Nhan_Viec'!$J:$J,MATCH($B52,'02_DS_Nhan_Viec'!$B:$B,0)),""),'05_Theo_Doi_Gio_Cong_7_Ngay'!$B:$B,0)),"")="",IFERROR(INDEX('05_Theo_Doi_Gio_Cong_7_Ngay'!$R:$R,MATCH(IFERROR(INDEX('02_DS_Nhan_Viec'!$J:$J,MATCH($B52,'02_DS_Nhan_Viec'!$B:$B,0)),""),'05_Theo_Doi_Gio_Cong_7_Ngay'!$B:$B,0)),0)=0),"Đang theo dõi",IFERROR(INDEX('06_DS_Chinh_Thuc'!$K:$K,MATCH(IFERROR(INDEX('05_Theo_Doi_Gio_Cong_7_Ngay'!$R:$R,MATCH(IFERROR(INDEX('02_DS_Nhan_Viec'!$J:$J,MATCH($B52,'02_DS_Nhan_Viec'!$B:$B,0)),""),'05_Theo_Doi_Gio_Cong_7_Ngay'!$B:$B,0)),0),'06_DS_Chinh_Thuc'!$B:$B,0)),"Đang theo dõi"))))</f>
      </c>
    </row>
    <row r="53" ht="14.25" customHeight="1" spans="1:55" x14ac:dyDescent="0.25">
      <c r="A53" s="52">
        <f t="shared" si="0"/>
      </c>
      <c r="B53" s="52">
        <f t="shared" si="1"/>
      </c>
      <c r="C53" s="53"/>
      <c r="D53" s="54"/>
      <c r="E53" s="55"/>
      <c r="F53" s="56"/>
      <c r="G53" s="56"/>
      <c r="H53" s="56"/>
      <c r="I53" s="54"/>
      <c r="J53" s="57"/>
      <c r="K53" s="59"/>
      <c r="L53" s="54"/>
      <c r="M53" s="54"/>
      <c r="N53" s="54"/>
      <c r="O53" s="55"/>
      <c r="P53" s="54"/>
      <c r="Q53" s="58"/>
      <c r="R53" s="54"/>
      <c r="S53" s="54"/>
      <c r="T53" s="59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6"/>
      <c r="AH53" s="56"/>
      <c r="AI53" s="54"/>
      <c r="AJ53" s="54"/>
      <c r="AK53" s="54"/>
      <c r="AL53" s="56"/>
      <c r="AM53" s="56"/>
      <c r="AN53" s="54"/>
      <c r="AO53" s="56"/>
      <c r="AP53" s="54"/>
      <c r="AQ53" s="56"/>
      <c r="AR53" s="54"/>
      <c r="AS53" s="54"/>
      <c r="AT53" s="54"/>
      <c r="AU53" s="59"/>
      <c r="AV53" s="54"/>
      <c r="AW53" s="54"/>
      <c r="AX53" s="59"/>
      <c r="AY53" s="59"/>
      <c r="AZ53" s="59"/>
      <c r="BA53" s="60">
        <f>IFERROR(VLOOKUP(B53,'02_DS_Nhan_Viec'!B:L,5,0),"")</f>
      </c>
      <c r="BB53" s="54"/>
      <c r="BC53" s="61">
        <f t="array" ref="BC53">IF($B53="","",IF(IFERROR(INDEX('02_DS_Nhan_Viec'!$J:$J,MATCH($B53,'02_DS_Nhan_Viec'!$B:$B,0)),"")="","Đang theo dõi",IF(OR(IFERROR(INDEX('05_Theo_Doi_Gio_Cong_7_Ngay'!$R:$R,MATCH(IFERROR(INDEX('02_DS_Nhan_Viec'!$J:$J,MATCH($B53,'02_DS_Nhan_Viec'!$B:$B,0)),""),'05_Theo_Doi_Gio_Cong_7_Ngay'!$B:$B,0)),"")="",IFERROR(INDEX('05_Theo_Doi_Gio_Cong_7_Ngay'!$R:$R,MATCH(IFERROR(INDEX('02_DS_Nhan_Viec'!$J:$J,MATCH($B53,'02_DS_Nhan_Viec'!$B:$B,0)),""),'05_Theo_Doi_Gio_Cong_7_Ngay'!$B:$B,0)),0)=0),"Đang theo dõi",IFERROR(INDEX('06_DS_Chinh_Thuc'!$K:$K,MATCH(IFERROR(INDEX('05_Theo_Doi_Gio_Cong_7_Ngay'!$R:$R,MATCH(IFERROR(INDEX('02_DS_Nhan_Viec'!$J:$J,MATCH($B53,'02_DS_Nhan_Viec'!$B:$B,0)),""),'05_Theo_Doi_Gio_Cong_7_Ngay'!$B:$B,0)),0),'06_DS_Chinh_Thuc'!$B:$B,0)),"Đang theo dõi"))))</f>
      </c>
    </row>
    <row r="54" ht="14.25" customHeight="1" spans="1:55" x14ac:dyDescent="0.25">
      <c r="A54" s="52">
        <f t="shared" si="0"/>
      </c>
      <c r="B54" s="52">
        <f t="shared" si="1"/>
      </c>
      <c r="C54" s="53"/>
      <c r="D54" s="54"/>
      <c r="E54" s="55"/>
      <c r="F54" s="56"/>
      <c r="G54" s="56"/>
      <c r="H54" s="56"/>
      <c r="I54" s="54"/>
      <c r="J54" s="57"/>
      <c r="K54" s="59"/>
      <c r="L54" s="54"/>
      <c r="M54" s="54"/>
      <c r="N54" s="54"/>
      <c r="O54" s="55"/>
      <c r="P54" s="54"/>
      <c r="Q54" s="58"/>
      <c r="R54" s="54"/>
      <c r="S54" s="54"/>
      <c r="T54" s="59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6"/>
      <c r="AH54" s="56"/>
      <c r="AI54" s="54"/>
      <c r="AJ54" s="54"/>
      <c r="AK54" s="54"/>
      <c r="AL54" s="56"/>
      <c r="AM54" s="56"/>
      <c r="AN54" s="54"/>
      <c r="AO54" s="56"/>
      <c r="AP54" s="54"/>
      <c r="AQ54" s="56"/>
      <c r="AR54" s="54"/>
      <c r="AS54" s="54"/>
      <c r="AT54" s="54"/>
      <c r="AU54" s="59"/>
      <c r="AV54" s="54"/>
      <c r="AW54" s="54"/>
      <c r="AX54" s="59"/>
      <c r="AY54" s="59"/>
      <c r="AZ54" s="59"/>
      <c r="BA54" s="60">
        <f>IFERROR(VLOOKUP(B54,'02_DS_Nhan_Viec'!B:L,5,0),"")</f>
      </c>
      <c r="BB54" s="54"/>
      <c r="BC54" s="61">
        <f t="array" ref="BC54">IF($B54="","",IF(IFERROR(INDEX('02_DS_Nhan_Viec'!$J:$J,MATCH($B54,'02_DS_Nhan_Viec'!$B:$B,0)),"")="","Đang theo dõi",IF(OR(IFERROR(INDEX('05_Theo_Doi_Gio_Cong_7_Ngay'!$R:$R,MATCH(IFERROR(INDEX('02_DS_Nhan_Viec'!$J:$J,MATCH($B54,'02_DS_Nhan_Viec'!$B:$B,0)),""),'05_Theo_Doi_Gio_Cong_7_Ngay'!$B:$B,0)),"")="",IFERROR(INDEX('05_Theo_Doi_Gio_Cong_7_Ngay'!$R:$R,MATCH(IFERROR(INDEX('02_DS_Nhan_Viec'!$J:$J,MATCH($B54,'02_DS_Nhan_Viec'!$B:$B,0)),""),'05_Theo_Doi_Gio_Cong_7_Ngay'!$B:$B,0)),0)=0),"Đang theo dõi",IFERROR(INDEX('06_DS_Chinh_Thuc'!$K:$K,MATCH(IFERROR(INDEX('05_Theo_Doi_Gio_Cong_7_Ngay'!$R:$R,MATCH(IFERROR(INDEX('02_DS_Nhan_Viec'!$J:$J,MATCH($B54,'02_DS_Nhan_Viec'!$B:$B,0)),""),'05_Theo_Doi_Gio_Cong_7_Ngay'!$B:$B,0)),0),'06_DS_Chinh_Thuc'!$B:$B,0)),"Đang theo dõi"))))</f>
      </c>
    </row>
    <row r="55" ht="14.25" customHeight="1" spans="1:55" x14ac:dyDescent="0.25">
      <c r="A55" s="52">
        <f t="shared" si="0"/>
      </c>
      <c r="B55" s="52">
        <f t="shared" si="1"/>
      </c>
      <c r="C55" s="53"/>
      <c r="D55" s="54"/>
      <c r="E55" s="55"/>
      <c r="F55" s="56"/>
      <c r="G55" s="56"/>
      <c r="H55" s="56"/>
      <c r="I55" s="54"/>
      <c r="J55" s="57"/>
      <c r="K55" s="59"/>
      <c r="L55" s="54"/>
      <c r="M55" s="54"/>
      <c r="N55" s="54"/>
      <c r="O55" s="55"/>
      <c r="P55" s="54"/>
      <c r="Q55" s="58"/>
      <c r="R55" s="54"/>
      <c r="S55" s="54"/>
      <c r="T55" s="59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6"/>
      <c r="AH55" s="56"/>
      <c r="AI55" s="54"/>
      <c r="AJ55" s="54"/>
      <c r="AK55" s="54"/>
      <c r="AL55" s="56"/>
      <c r="AM55" s="56"/>
      <c r="AN55" s="54"/>
      <c r="AO55" s="56"/>
      <c r="AP55" s="54"/>
      <c r="AQ55" s="56"/>
      <c r="AR55" s="54"/>
      <c r="AS55" s="54"/>
      <c r="AT55" s="54"/>
      <c r="AU55" s="59"/>
      <c r="AV55" s="54"/>
      <c r="AW55" s="54"/>
      <c r="AX55" s="59"/>
      <c r="AY55" s="59"/>
      <c r="AZ55" s="59"/>
      <c r="BA55" s="60">
        <f>IFERROR(VLOOKUP(B55,'02_DS_Nhan_Viec'!B:L,5,0),"")</f>
      </c>
      <c r="BB55" s="54"/>
      <c r="BC55" s="61">
        <f t="array" ref="BC55">IF($B55="","",IF(IFERROR(INDEX('02_DS_Nhan_Viec'!$J:$J,MATCH($B55,'02_DS_Nhan_Viec'!$B:$B,0)),"")="","Đang theo dõi",IF(OR(IFERROR(INDEX('05_Theo_Doi_Gio_Cong_7_Ngay'!$R:$R,MATCH(IFERROR(INDEX('02_DS_Nhan_Viec'!$J:$J,MATCH($B55,'02_DS_Nhan_Viec'!$B:$B,0)),""),'05_Theo_Doi_Gio_Cong_7_Ngay'!$B:$B,0)),"")="",IFERROR(INDEX('05_Theo_Doi_Gio_Cong_7_Ngay'!$R:$R,MATCH(IFERROR(INDEX('02_DS_Nhan_Viec'!$J:$J,MATCH($B55,'02_DS_Nhan_Viec'!$B:$B,0)),""),'05_Theo_Doi_Gio_Cong_7_Ngay'!$B:$B,0)),0)=0),"Đang theo dõi",IFERROR(INDEX('06_DS_Chinh_Thuc'!$K:$K,MATCH(IFERROR(INDEX('05_Theo_Doi_Gio_Cong_7_Ngay'!$R:$R,MATCH(IFERROR(INDEX('02_DS_Nhan_Viec'!$J:$J,MATCH($B55,'02_DS_Nhan_Viec'!$B:$B,0)),""),'05_Theo_Doi_Gio_Cong_7_Ngay'!$B:$B,0)),0),'06_DS_Chinh_Thuc'!$B:$B,0)),"Đang theo dõi"))))</f>
      </c>
    </row>
    <row r="56" ht="14.25" customHeight="1" spans="1:55" x14ac:dyDescent="0.25">
      <c r="A56" s="52">
        <f t="shared" si="0"/>
      </c>
      <c r="B56" s="52">
        <f t="shared" si="1"/>
      </c>
      <c r="C56" s="53"/>
      <c r="D56" s="54"/>
      <c r="E56" s="55"/>
      <c r="F56" s="56"/>
      <c r="G56" s="56"/>
      <c r="H56" s="56"/>
      <c r="I56" s="54"/>
      <c r="J56" s="57"/>
      <c r="K56" s="59"/>
      <c r="L56" s="54"/>
      <c r="M56" s="54"/>
      <c r="N56" s="54"/>
      <c r="O56" s="55"/>
      <c r="P56" s="54"/>
      <c r="Q56" s="58"/>
      <c r="R56" s="54"/>
      <c r="S56" s="54"/>
      <c r="T56" s="59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6"/>
      <c r="AH56" s="56"/>
      <c r="AI56" s="54"/>
      <c r="AJ56" s="54"/>
      <c r="AK56" s="54"/>
      <c r="AL56" s="56"/>
      <c r="AM56" s="56"/>
      <c r="AN56" s="54"/>
      <c r="AO56" s="56"/>
      <c r="AP56" s="54"/>
      <c r="AQ56" s="56"/>
      <c r="AR56" s="54"/>
      <c r="AS56" s="54"/>
      <c r="AT56" s="54"/>
      <c r="AU56" s="59"/>
      <c r="AV56" s="54"/>
      <c r="AW56" s="54"/>
      <c r="AX56" s="59"/>
      <c r="AY56" s="59"/>
      <c r="AZ56" s="59"/>
      <c r="BA56" s="60">
        <f>IFERROR(VLOOKUP(B56,'02_DS_Nhan_Viec'!B:L,5,0),"")</f>
      </c>
      <c r="BB56" s="54"/>
      <c r="BC56" s="61">
        <f t="array" ref="BC56">IF($B56="","",IF(IFERROR(INDEX('02_DS_Nhan_Viec'!$J:$J,MATCH($B56,'02_DS_Nhan_Viec'!$B:$B,0)),"")="","Đang theo dõi",IF(OR(IFERROR(INDEX('05_Theo_Doi_Gio_Cong_7_Ngay'!$R:$R,MATCH(IFERROR(INDEX('02_DS_Nhan_Viec'!$J:$J,MATCH($B56,'02_DS_Nhan_Viec'!$B:$B,0)),""),'05_Theo_Doi_Gio_Cong_7_Ngay'!$B:$B,0)),"")="",IFERROR(INDEX('05_Theo_Doi_Gio_Cong_7_Ngay'!$R:$R,MATCH(IFERROR(INDEX('02_DS_Nhan_Viec'!$J:$J,MATCH($B56,'02_DS_Nhan_Viec'!$B:$B,0)),""),'05_Theo_Doi_Gio_Cong_7_Ngay'!$B:$B,0)),0)=0),"Đang theo dõi",IFERROR(INDEX('06_DS_Chinh_Thuc'!$K:$K,MATCH(IFERROR(INDEX('05_Theo_Doi_Gio_Cong_7_Ngay'!$R:$R,MATCH(IFERROR(INDEX('02_DS_Nhan_Viec'!$J:$J,MATCH($B56,'02_DS_Nhan_Viec'!$B:$B,0)),""),'05_Theo_Doi_Gio_Cong_7_Ngay'!$B:$B,0)),0),'06_DS_Chinh_Thuc'!$B:$B,0)),"Đang theo dõi"))))</f>
      </c>
    </row>
    <row r="57" ht="14.25" customHeight="1" spans="1:55" x14ac:dyDescent="0.25">
      <c r="A57" s="52">
        <f t="shared" si="0"/>
      </c>
      <c r="B57" s="52">
        <f t="shared" si="1"/>
      </c>
      <c r="C57" s="53"/>
      <c r="D57" s="54"/>
      <c r="E57" s="55"/>
      <c r="F57" s="56"/>
      <c r="G57" s="56"/>
      <c r="H57" s="56"/>
      <c r="I57" s="54"/>
      <c r="J57" s="57"/>
      <c r="K57" s="59"/>
      <c r="L57" s="54"/>
      <c r="M57" s="54"/>
      <c r="N57" s="54"/>
      <c r="O57" s="55"/>
      <c r="P57" s="54"/>
      <c r="Q57" s="58"/>
      <c r="R57" s="54"/>
      <c r="S57" s="54"/>
      <c r="T57" s="59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6"/>
      <c r="AH57" s="56"/>
      <c r="AI57" s="54"/>
      <c r="AJ57" s="54"/>
      <c r="AK57" s="54"/>
      <c r="AL57" s="56"/>
      <c r="AM57" s="56"/>
      <c r="AN57" s="54"/>
      <c r="AO57" s="56"/>
      <c r="AP57" s="54"/>
      <c r="AQ57" s="56"/>
      <c r="AR57" s="54"/>
      <c r="AS57" s="54"/>
      <c r="AT57" s="54"/>
      <c r="AU57" s="59"/>
      <c r="AV57" s="54"/>
      <c r="AW57" s="54"/>
      <c r="AX57" s="59"/>
      <c r="AY57" s="59"/>
      <c r="AZ57" s="59"/>
      <c r="BA57" s="60">
        <f>IFERROR(VLOOKUP(B57,'02_DS_Nhan_Viec'!B:L,5,0),"")</f>
      </c>
      <c r="BB57" s="54"/>
      <c r="BC57" s="61">
        <f t="array" ref="BC57">IF($B57="","",IF(IFERROR(INDEX('02_DS_Nhan_Viec'!$J:$J,MATCH($B57,'02_DS_Nhan_Viec'!$B:$B,0)),"")="","Đang theo dõi",IF(OR(IFERROR(INDEX('05_Theo_Doi_Gio_Cong_7_Ngay'!$R:$R,MATCH(IFERROR(INDEX('02_DS_Nhan_Viec'!$J:$J,MATCH($B57,'02_DS_Nhan_Viec'!$B:$B,0)),""),'05_Theo_Doi_Gio_Cong_7_Ngay'!$B:$B,0)),"")="",IFERROR(INDEX('05_Theo_Doi_Gio_Cong_7_Ngay'!$R:$R,MATCH(IFERROR(INDEX('02_DS_Nhan_Viec'!$J:$J,MATCH($B57,'02_DS_Nhan_Viec'!$B:$B,0)),""),'05_Theo_Doi_Gio_Cong_7_Ngay'!$B:$B,0)),0)=0),"Đang theo dõi",IFERROR(INDEX('06_DS_Chinh_Thuc'!$K:$K,MATCH(IFERROR(INDEX('05_Theo_Doi_Gio_Cong_7_Ngay'!$R:$R,MATCH(IFERROR(INDEX('02_DS_Nhan_Viec'!$J:$J,MATCH($B57,'02_DS_Nhan_Viec'!$B:$B,0)),""),'05_Theo_Doi_Gio_Cong_7_Ngay'!$B:$B,0)),0),'06_DS_Chinh_Thuc'!$B:$B,0)),"Đang theo dõi"))))</f>
      </c>
    </row>
    <row r="58" ht="14.25" customHeight="1" spans="1:55" x14ac:dyDescent="0.25">
      <c r="A58" s="52">
        <f t="shared" si="0"/>
      </c>
      <c r="B58" s="52">
        <f t="shared" si="1"/>
      </c>
      <c r="C58" s="53"/>
      <c r="D58" s="54"/>
      <c r="E58" s="55"/>
      <c r="F58" s="56"/>
      <c r="G58" s="56"/>
      <c r="H58" s="56"/>
      <c r="I58" s="54"/>
      <c r="J58" s="57"/>
      <c r="K58" s="59"/>
      <c r="L58" s="54"/>
      <c r="M58" s="54"/>
      <c r="N58" s="54"/>
      <c r="O58" s="55"/>
      <c r="P58" s="54"/>
      <c r="Q58" s="58"/>
      <c r="R58" s="54"/>
      <c r="S58" s="54"/>
      <c r="T58" s="59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6"/>
      <c r="AH58" s="56"/>
      <c r="AI58" s="54"/>
      <c r="AJ58" s="54"/>
      <c r="AK58" s="54"/>
      <c r="AL58" s="56"/>
      <c r="AM58" s="56"/>
      <c r="AN58" s="54"/>
      <c r="AO58" s="56"/>
      <c r="AP58" s="54"/>
      <c r="AQ58" s="56"/>
      <c r="AR58" s="54"/>
      <c r="AS58" s="54"/>
      <c r="AT58" s="54"/>
      <c r="AU58" s="59"/>
      <c r="AV58" s="54"/>
      <c r="AW58" s="54"/>
      <c r="AX58" s="59"/>
      <c r="AY58" s="59"/>
      <c r="AZ58" s="59"/>
      <c r="BA58" s="60">
        <f>IFERROR(VLOOKUP(B58,'02_DS_Nhan_Viec'!B:L,5,0),"")</f>
      </c>
      <c r="BB58" s="54"/>
      <c r="BC58" s="61">
        <f t="array" ref="BC58">IF($B58="","",IF(IFERROR(INDEX('02_DS_Nhan_Viec'!$J:$J,MATCH($B58,'02_DS_Nhan_Viec'!$B:$B,0)),"")="","Đang theo dõi",IF(OR(IFERROR(INDEX('05_Theo_Doi_Gio_Cong_7_Ngay'!$R:$R,MATCH(IFERROR(INDEX('02_DS_Nhan_Viec'!$J:$J,MATCH($B58,'02_DS_Nhan_Viec'!$B:$B,0)),""),'05_Theo_Doi_Gio_Cong_7_Ngay'!$B:$B,0)),"")="",IFERROR(INDEX('05_Theo_Doi_Gio_Cong_7_Ngay'!$R:$R,MATCH(IFERROR(INDEX('02_DS_Nhan_Viec'!$J:$J,MATCH($B58,'02_DS_Nhan_Viec'!$B:$B,0)),""),'05_Theo_Doi_Gio_Cong_7_Ngay'!$B:$B,0)),0)=0),"Đang theo dõi",IFERROR(INDEX('06_DS_Chinh_Thuc'!$K:$K,MATCH(IFERROR(INDEX('05_Theo_Doi_Gio_Cong_7_Ngay'!$R:$R,MATCH(IFERROR(INDEX('02_DS_Nhan_Viec'!$J:$J,MATCH($B58,'02_DS_Nhan_Viec'!$B:$B,0)),""),'05_Theo_Doi_Gio_Cong_7_Ngay'!$B:$B,0)),0),'06_DS_Chinh_Thuc'!$B:$B,0)),"Đang theo dõi"))))</f>
      </c>
    </row>
    <row r="59" ht="14.25" customHeight="1" spans="1:55" x14ac:dyDescent="0.25">
      <c r="A59" s="52">
        <f t="shared" si="0"/>
      </c>
      <c r="B59" s="52">
        <f t="shared" si="1"/>
      </c>
      <c r="C59" s="53"/>
      <c r="D59" s="54"/>
      <c r="E59" s="55"/>
      <c r="F59" s="56"/>
      <c r="G59" s="56"/>
      <c r="H59" s="56"/>
      <c r="I59" s="54"/>
      <c r="J59" s="57"/>
      <c r="K59" s="59"/>
      <c r="L59" s="54"/>
      <c r="M59" s="54"/>
      <c r="N59" s="54"/>
      <c r="O59" s="55"/>
      <c r="P59" s="54"/>
      <c r="Q59" s="58"/>
      <c r="R59" s="54"/>
      <c r="S59" s="54"/>
      <c r="T59" s="59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6"/>
      <c r="AH59" s="56"/>
      <c r="AI59" s="54"/>
      <c r="AJ59" s="54"/>
      <c r="AK59" s="54"/>
      <c r="AL59" s="56"/>
      <c r="AM59" s="56"/>
      <c r="AN59" s="54"/>
      <c r="AO59" s="56"/>
      <c r="AP59" s="54"/>
      <c r="AQ59" s="56"/>
      <c r="AR59" s="54"/>
      <c r="AS59" s="54"/>
      <c r="AT59" s="54"/>
      <c r="AU59" s="59"/>
      <c r="AV59" s="54"/>
      <c r="AW59" s="54"/>
      <c r="AX59" s="59"/>
      <c r="AY59" s="59"/>
      <c r="AZ59" s="59"/>
      <c r="BA59" s="60">
        <f>IFERROR(VLOOKUP(B59,'02_DS_Nhan_Viec'!B:L,5,0),"")</f>
      </c>
      <c r="BB59" s="54"/>
      <c r="BC59" s="61">
        <f t="array" ref="BC59">IF($B59="","",IF(IFERROR(INDEX('02_DS_Nhan_Viec'!$J:$J,MATCH($B59,'02_DS_Nhan_Viec'!$B:$B,0)),"")="","Đang theo dõi",IF(OR(IFERROR(INDEX('05_Theo_Doi_Gio_Cong_7_Ngay'!$R:$R,MATCH(IFERROR(INDEX('02_DS_Nhan_Viec'!$J:$J,MATCH($B59,'02_DS_Nhan_Viec'!$B:$B,0)),""),'05_Theo_Doi_Gio_Cong_7_Ngay'!$B:$B,0)),"")="",IFERROR(INDEX('05_Theo_Doi_Gio_Cong_7_Ngay'!$R:$R,MATCH(IFERROR(INDEX('02_DS_Nhan_Viec'!$J:$J,MATCH($B59,'02_DS_Nhan_Viec'!$B:$B,0)),""),'05_Theo_Doi_Gio_Cong_7_Ngay'!$B:$B,0)),0)=0),"Đang theo dõi",IFERROR(INDEX('06_DS_Chinh_Thuc'!$K:$K,MATCH(IFERROR(INDEX('05_Theo_Doi_Gio_Cong_7_Ngay'!$R:$R,MATCH(IFERROR(INDEX('02_DS_Nhan_Viec'!$J:$J,MATCH($B59,'02_DS_Nhan_Viec'!$B:$B,0)),""),'05_Theo_Doi_Gio_Cong_7_Ngay'!$B:$B,0)),0),'06_DS_Chinh_Thuc'!$B:$B,0)),"Đang theo dõi"))))</f>
      </c>
    </row>
    <row r="60" ht="14.25" customHeight="1" spans="1:55" x14ac:dyDescent="0.25">
      <c r="A60" s="52">
        <f t="shared" si="0"/>
      </c>
      <c r="B60" s="52">
        <f t="shared" si="1"/>
      </c>
      <c r="C60" s="53"/>
      <c r="D60" s="54"/>
      <c r="E60" s="55"/>
      <c r="F60" s="56"/>
      <c r="G60" s="56"/>
      <c r="H60" s="56"/>
      <c r="I60" s="54"/>
      <c r="J60" s="57"/>
      <c r="K60" s="59"/>
      <c r="L60" s="54"/>
      <c r="M60" s="54"/>
      <c r="N60" s="54"/>
      <c r="O60" s="55"/>
      <c r="P60" s="54"/>
      <c r="Q60" s="58"/>
      <c r="R60" s="54"/>
      <c r="S60" s="54"/>
      <c r="T60" s="59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6"/>
      <c r="AH60" s="56"/>
      <c r="AI60" s="54"/>
      <c r="AJ60" s="54"/>
      <c r="AK60" s="54"/>
      <c r="AL60" s="56"/>
      <c r="AM60" s="56"/>
      <c r="AN60" s="54"/>
      <c r="AO60" s="56"/>
      <c r="AP60" s="54"/>
      <c r="AQ60" s="56"/>
      <c r="AR60" s="54"/>
      <c r="AS60" s="54"/>
      <c r="AT60" s="54"/>
      <c r="AU60" s="59"/>
      <c r="AV60" s="54"/>
      <c r="AW60" s="54"/>
      <c r="AX60" s="59"/>
      <c r="AY60" s="59"/>
      <c r="AZ60" s="59"/>
      <c r="BA60" s="60">
        <f>IFERROR(VLOOKUP(B60,'02_DS_Nhan_Viec'!B:L,5,0),"")</f>
      </c>
      <c r="BB60" s="54"/>
      <c r="BC60" s="61">
        <f t="array" ref="BC60">IF($B60="","",IF(IFERROR(INDEX('02_DS_Nhan_Viec'!$J:$J,MATCH($B60,'02_DS_Nhan_Viec'!$B:$B,0)),"")="","Đang theo dõi",IF(OR(IFERROR(INDEX('05_Theo_Doi_Gio_Cong_7_Ngay'!$R:$R,MATCH(IFERROR(INDEX('02_DS_Nhan_Viec'!$J:$J,MATCH($B60,'02_DS_Nhan_Viec'!$B:$B,0)),""),'05_Theo_Doi_Gio_Cong_7_Ngay'!$B:$B,0)),"")="",IFERROR(INDEX('05_Theo_Doi_Gio_Cong_7_Ngay'!$R:$R,MATCH(IFERROR(INDEX('02_DS_Nhan_Viec'!$J:$J,MATCH($B60,'02_DS_Nhan_Viec'!$B:$B,0)),""),'05_Theo_Doi_Gio_Cong_7_Ngay'!$B:$B,0)),0)=0),"Đang theo dõi",IFERROR(INDEX('06_DS_Chinh_Thuc'!$K:$K,MATCH(IFERROR(INDEX('05_Theo_Doi_Gio_Cong_7_Ngay'!$R:$R,MATCH(IFERROR(INDEX('02_DS_Nhan_Viec'!$J:$J,MATCH($B60,'02_DS_Nhan_Viec'!$B:$B,0)),""),'05_Theo_Doi_Gio_Cong_7_Ngay'!$B:$B,0)),0),'06_DS_Chinh_Thuc'!$B:$B,0)),"Đang theo dõi"))))</f>
      </c>
    </row>
    <row r="61" ht="14.25" customHeight="1" spans="1:55" x14ac:dyDescent="0.25">
      <c r="A61" s="52">
        <f t="shared" si="0"/>
      </c>
      <c r="B61" s="52">
        <f t="shared" si="1"/>
      </c>
      <c r="C61" s="53"/>
      <c r="D61" s="54"/>
      <c r="E61" s="55"/>
      <c r="F61" s="56"/>
      <c r="G61" s="56"/>
      <c r="H61" s="56"/>
      <c r="I61" s="54"/>
      <c r="J61" s="57"/>
      <c r="K61" s="59"/>
      <c r="L61" s="54"/>
      <c r="M61" s="54"/>
      <c r="N61" s="54"/>
      <c r="O61" s="55"/>
      <c r="P61" s="54"/>
      <c r="Q61" s="58"/>
      <c r="R61" s="54"/>
      <c r="S61" s="54"/>
      <c r="T61" s="59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6"/>
      <c r="AH61" s="56"/>
      <c r="AI61" s="54"/>
      <c r="AJ61" s="54"/>
      <c r="AK61" s="54"/>
      <c r="AL61" s="56"/>
      <c r="AM61" s="56"/>
      <c r="AN61" s="54"/>
      <c r="AO61" s="56"/>
      <c r="AP61" s="54"/>
      <c r="AQ61" s="56"/>
      <c r="AR61" s="54"/>
      <c r="AS61" s="54"/>
      <c r="AT61" s="54"/>
      <c r="AU61" s="59"/>
      <c r="AV61" s="54"/>
      <c r="AW61" s="54"/>
      <c r="AX61" s="59"/>
      <c r="AY61" s="59"/>
      <c r="AZ61" s="59"/>
      <c r="BA61" s="60">
        <f>IFERROR(VLOOKUP(B61,'02_DS_Nhan_Viec'!B:L,5,0),"")</f>
      </c>
      <c r="BB61" s="54"/>
      <c r="BC61" s="61">
        <f t="array" ref="BC61">IF($B61="","",IF(IFERROR(INDEX('02_DS_Nhan_Viec'!$J:$J,MATCH($B61,'02_DS_Nhan_Viec'!$B:$B,0)),"")="","Đang theo dõi",IF(OR(IFERROR(INDEX('05_Theo_Doi_Gio_Cong_7_Ngay'!$R:$R,MATCH(IFERROR(INDEX('02_DS_Nhan_Viec'!$J:$J,MATCH($B61,'02_DS_Nhan_Viec'!$B:$B,0)),""),'05_Theo_Doi_Gio_Cong_7_Ngay'!$B:$B,0)),"")="",IFERROR(INDEX('05_Theo_Doi_Gio_Cong_7_Ngay'!$R:$R,MATCH(IFERROR(INDEX('02_DS_Nhan_Viec'!$J:$J,MATCH($B61,'02_DS_Nhan_Viec'!$B:$B,0)),""),'05_Theo_Doi_Gio_Cong_7_Ngay'!$B:$B,0)),0)=0),"Đang theo dõi",IFERROR(INDEX('06_DS_Chinh_Thuc'!$K:$K,MATCH(IFERROR(INDEX('05_Theo_Doi_Gio_Cong_7_Ngay'!$R:$R,MATCH(IFERROR(INDEX('02_DS_Nhan_Viec'!$J:$J,MATCH($B61,'02_DS_Nhan_Viec'!$B:$B,0)),""),'05_Theo_Doi_Gio_Cong_7_Ngay'!$B:$B,0)),0),'06_DS_Chinh_Thuc'!$B:$B,0)),"Đang theo dõi"))))</f>
      </c>
    </row>
    <row r="62" ht="14.25" customHeight="1" spans="1:55" x14ac:dyDescent="0.25">
      <c r="A62" s="52">
        <f t="shared" si="0"/>
      </c>
      <c r="B62" s="52">
        <f t="shared" si="1"/>
      </c>
      <c r="C62" s="53"/>
      <c r="D62" s="54"/>
      <c r="E62" s="55"/>
      <c r="F62" s="56"/>
      <c r="G62" s="56"/>
      <c r="H62" s="56"/>
      <c r="I62" s="54"/>
      <c r="J62" s="57"/>
      <c r="K62" s="59"/>
      <c r="L62" s="54"/>
      <c r="M62" s="54"/>
      <c r="N62" s="54"/>
      <c r="O62" s="55"/>
      <c r="P62" s="54"/>
      <c r="Q62" s="58"/>
      <c r="R62" s="54"/>
      <c r="S62" s="54"/>
      <c r="T62" s="59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6"/>
      <c r="AH62" s="56"/>
      <c r="AI62" s="54"/>
      <c r="AJ62" s="54"/>
      <c r="AK62" s="54"/>
      <c r="AL62" s="56"/>
      <c r="AM62" s="56"/>
      <c r="AN62" s="54"/>
      <c r="AO62" s="56"/>
      <c r="AP62" s="54"/>
      <c r="AQ62" s="56"/>
      <c r="AR62" s="54"/>
      <c r="AS62" s="54"/>
      <c r="AT62" s="54"/>
      <c r="AU62" s="59"/>
      <c r="AV62" s="54"/>
      <c r="AW62" s="54"/>
      <c r="AX62" s="59"/>
      <c r="AY62" s="59"/>
      <c r="AZ62" s="59"/>
      <c r="BA62" s="60">
        <f>IFERROR(VLOOKUP(B62,'02_DS_Nhan_Viec'!B:L,5,0),"")</f>
      </c>
      <c r="BB62" s="54"/>
      <c r="BC62" s="61">
        <f t="array" ref="BC62">IF($B62="","",IF(IFERROR(INDEX('02_DS_Nhan_Viec'!$J:$J,MATCH($B62,'02_DS_Nhan_Viec'!$B:$B,0)),"")="","Đang theo dõi",IF(OR(IFERROR(INDEX('05_Theo_Doi_Gio_Cong_7_Ngay'!$R:$R,MATCH(IFERROR(INDEX('02_DS_Nhan_Viec'!$J:$J,MATCH($B62,'02_DS_Nhan_Viec'!$B:$B,0)),""),'05_Theo_Doi_Gio_Cong_7_Ngay'!$B:$B,0)),"")="",IFERROR(INDEX('05_Theo_Doi_Gio_Cong_7_Ngay'!$R:$R,MATCH(IFERROR(INDEX('02_DS_Nhan_Viec'!$J:$J,MATCH($B62,'02_DS_Nhan_Viec'!$B:$B,0)),""),'05_Theo_Doi_Gio_Cong_7_Ngay'!$B:$B,0)),0)=0),"Đang theo dõi",IFERROR(INDEX('06_DS_Chinh_Thuc'!$K:$K,MATCH(IFERROR(INDEX('05_Theo_Doi_Gio_Cong_7_Ngay'!$R:$R,MATCH(IFERROR(INDEX('02_DS_Nhan_Viec'!$J:$J,MATCH($B62,'02_DS_Nhan_Viec'!$B:$B,0)),""),'05_Theo_Doi_Gio_Cong_7_Ngay'!$B:$B,0)),0),'06_DS_Chinh_Thuc'!$B:$B,0)),"Đang theo dõi"))))</f>
      </c>
    </row>
    <row r="63" ht="14.25" customHeight="1" spans="1:55" x14ac:dyDescent="0.25">
      <c r="A63" s="52">
        <f t="shared" si="0"/>
      </c>
      <c r="B63" s="52">
        <f t="shared" si="1"/>
      </c>
      <c r="C63" s="53"/>
      <c r="D63" s="54"/>
      <c r="E63" s="55"/>
      <c r="F63" s="56"/>
      <c r="G63" s="56"/>
      <c r="H63" s="56"/>
      <c r="I63" s="54"/>
      <c r="J63" s="57"/>
      <c r="K63" s="59"/>
      <c r="L63" s="54"/>
      <c r="M63" s="54"/>
      <c r="N63" s="54"/>
      <c r="O63" s="55"/>
      <c r="P63" s="54"/>
      <c r="Q63" s="58"/>
      <c r="R63" s="54"/>
      <c r="S63" s="54"/>
      <c r="T63" s="59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6"/>
      <c r="AH63" s="56"/>
      <c r="AI63" s="54"/>
      <c r="AJ63" s="54"/>
      <c r="AK63" s="54"/>
      <c r="AL63" s="56"/>
      <c r="AM63" s="56"/>
      <c r="AN63" s="54"/>
      <c r="AO63" s="56"/>
      <c r="AP63" s="54"/>
      <c r="AQ63" s="56"/>
      <c r="AR63" s="54"/>
      <c r="AS63" s="54"/>
      <c r="AT63" s="54"/>
      <c r="AU63" s="59"/>
      <c r="AV63" s="54"/>
      <c r="AW63" s="54"/>
      <c r="AX63" s="59"/>
      <c r="AY63" s="59"/>
      <c r="AZ63" s="59"/>
      <c r="BA63" s="60">
        <f>IFERROR(VLOOKUP(B63,'02_DS_Nhan_Viec'!B:L,5,0),"")</f>
      </c>
      <c r="BB63" s="54"/>
      <c r="BC63" s="61">
        <f t="array" ref="BC63">IF($B63="","",IF(IFERROR(INDEX('02_DS_Nhan_Viec'!$J:$J,MATCH($B63,'02_DS_Nhan_Viec'!$B:$B,0)),"")="","Đang theo dõi",IF(OR(IFERROR(INDEX('05_Theo_Doi_Gio_Cong_7_Ngay'!$R:$R,MATCH(IFERROR(INDEX('02_DS_Nhan_Viec'!$J:$J,MATCH($B63,'02_DS_Nhan_Viec'!$B:$B,0)),""),'05_Theo_Doi_Gio_Cong_7_Ngay'!$B:$B,0)),"")="",IFERROR(INDEX('05_Theo_Doi_Gio_Cong_7_Ngay'!$R:$R,MATCH(IFERROR(INDEX('02_DS_Nhan_Viec'!$J:$J,MATCH($B63,'02_DS_Nhan_Viec'!$B:$B,0)),""),'05_Theo_Doi_Gio_Cong_7_Ngay'!$B:$B,0)),0)=0),"Đang theo dõi",IFERROR(INDEX('06_DS_Chinh_Thuc'!$K:$K,MATCH(IFERROR(INDEX('05_Theo_Doi_Gio_Cong_7_Ngay'!$R:$R,MATCH(IFERROR(INDEX('02_DS_Nhan_Viec'!$J:$J,MATCH($B63,'02_DS_Nhan_Viec'!$B:$B,0)),""),'05_Theo_Doi_Gio_Cong_7_Ngay'!$B:$B,0)),0),'06_DS_Chinh_Thuc'!$B:$B,0)),"Đang theo dõi"))))</f>
      </c>
    </row>
    <row r="64" ht="14.25" customHeight="1" spans="1:55" x14ac:dyDescent="0.25">
      <c r="A64" s="52">
        <f t="shared" si="0"/>
      </c>
      <c r="B64" s="52">
        <f t="shared" si="1"/>
      </c>
      <c r="C64" s="53"/>
      <c r="D64" s="54"/>
      <c r="E64" s="55"/>
      <c r="F64" s="56"/>
      <c r="G64" s="56"/>
      <c r="H64" s="56"/>
      <c r="I64" s="54"/>
      <c r="J64" s="57"/>
      <c r="K64" s="59"/>
      <c r="L64" s="54"/>
      <c r="M64" s="54"/>
      <c r="N64" s="54"/>
      <c r="O64" s="55"/>
      <c r="P64" s="54"/>
      <c r="Q64" s="58"/>
      <c r="R64" s="54"/>
      <c r="S64" s="54"/>
      <c r="T64" s="59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6"/>
      <c r="AH64" s="56"/>
      <c r="AI64" s="54"/>
      <c r="AJ64" s="54"/>
      <c r="AK64" s="54"/>
      <c r="AL64" s="56"/>
      <c r="AM64" s="56"/>
      <c r="AN64" s="54"/>
      <c r="AO64" s="56"/>
      <c r="AP64" s="54"/>
      <c r="AQ64" s="56"/>
      <c r="AR64" s="54"/>
      <c r="AS64" s="54"/>
      <c r="AT64" s="54"/>
      <c r="AU64" s="59"/>
      <c r="AV64" s="54"/>
      <c r="AW64" s="54"/>
      <c r="AX64" s="59"/>
      <c r="AY64" s="59"/>
      <c r="AZ64" s="59"/>
      <c r="BA64" s="60">
        <f>IFERROR(VLOOKUP(B64,'02_DS_Nhan_Viec'!B:L,5,0),"")</f>
      </c>
      <c r="BB64" s="54"/>
      <c r="BC64" s="61">
        <f t="array" ref="BC64">IF($B64="","",IF(IFERROR(INDEX('02_DS_Nhan_Viec'!$J:$J,MATCH($B64,'02_DS_Nhan_Viec'!$B:$B,0)),"")="","Đang theo dõi",IF(OR(IFERROR(INDEX('05_Theo_Doi_Gio_Cong_7_Ngay'!$R:$R,MATCH(IFERROR(INDEX('02_DS_Nhan_Viec'!$J:$J,MATCH($B64,'02_DS_Nhan_Viec'!$B:$B,0)),""),'05_Theo_Doi_Gio_Cong_7_Ngay'!$B:$B,0)),"")="",IFERROR(INDEX('05_Theo_Doi_Gio_Cong_7_Ngay'!$R:$R,MATCH(IFERROR(INDEX('02_DS_Nhan_Viec'!$J:$J,MATCH($B64,'02_DS_Nhan_Viec'!$B:$B,0)),""),'05_Theo_Doi_Gio_Cong_7_Ngay'!$B:$B,0)),0)=0),"Đang theo dõi",IFERROR(INDEX('06_DS_Chinh_Thuc'!$K:$K,MATCH(IFERROR(INDEX('05_Theo_Doi_Gio_Cong_7_Ngay'!$R:$R,MATCH(IFERROR(INDEX('02_DS_Nhan_Viec'!$J:$J,MATCH($B64,'02_DS_Nhan_Viec'!$B:$B,0)),""),'05_Theo_Doi_Gio_Cong_7_Ngay'!$B:$B,0)),0),'06_DS_Chinh_Thuc'!$B:$B,0)),"Đang theo dõi"))))</f>
      </c>
    </row>
    <row r="65" ht="14.25" customHeight="1" spans="1:55" x14ac:dyDescent="0.25">
      <c r="A65" s="52">
        <f t="shared" si="0"/>
      </c>
      <c r="B65" s="52">
        <f t="shared" si="1"/>
      </c>
      <c r="C65" s="53"/>
      <c r="D65" s="54"/>
      <c r="E65" s="55"/>
      <c r="F65" s="56"/>
      <c r="G65" s="56"/>
      <c r="H65" s="56"/>
      <c r="I65" s="54"/>
      <c r="J65" s="57"/>
      <c r="K65" s="59"/>
      <c r="L65" s="54"/>
      <c r="M65" s="54"/>
      <c r="N65" s="54"/>
      <c r="O65" s="55"/>
      <c r="P65" s="54"/>
      <c r="Q65" s="58"/>
      <c r="R65" s="54"/>
      <c r="S65" s="54"/>
      <c r="T65" s="59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6"/>
      <c r="AH65" s="56"/>
      <c r="AI65" s="54"/>
      <c r="AJ65" s="54"/>
      <c r="AK65" s="54"/>
      <c r="AL65" s="56"/>
      <c r="AM65" s="56"/>
      <c r="AN65" s="54"/>
      <c r="AO65" s="56"/>
      <c r="AP65" s="54"/>
      <c r="AQ65" s="56"/>
      <c r="AR65" s="54"/>
      <c r="AS65" s="54"/>
      <c r="AT65" s="54"/>
      <c r="AU65" s="59"/>
      <c r="AV65" s="54"/>
      <c r="AW65" s="54"/>
      <c r="AX65" s="59"/>
      <c r="AY65" s="59"/>
      <c r="AZ65" s="59"/>
      <c r="BA65" s="60">
        <f>IFERROR(VLOOKUP(B65,'02_DS_Nhan_Viec'!B:L,5,0),"")</f>
      </c>
      <c r="BB65" s="54"/>
      <c r="BC65" s="61">
        <f t="array" ref="BC65">IF($B65="","",IF(IFERROR(INDEX('02_DS_Nhan_Viec'!$J:$J,MATCH($B65,'02_DS_Nhan_Viec'!$B:$B,0)),"")="","Đang theo dõi",IF(OR(IFERROR(INDEX('05_Theo_Doi_Gio_Cong_7_Ngay'!$R:$R,MATCH(IFERROR(INDEX('02_DS_Nhan_Viec'!$J:$J,MATCH($B65,'02_DS_Nhan_Viec'!$B:$B,0)),""),'05_Theo_Doi_Gio_Cong_7_Ngay'!$B:$B,0)),"")="",IFERROR(INDEX('05_Theo_Doi_Gio_Cong_7_Ngay'!$R:$R,MATCH(IFERROR(INDEX('02_DS_Nhan_Viec'!$J:$J,MATCH($B65,'02_DS_Nhan_Viec'!$B:$B,0)),""),'05_Theo_Doi_Gio_Cong_7_Ngay'!$B:$B,0)),0)=0),"Đang theo dõi",IFERROR(INDEX('06_DS_Chinh_Thuc'!$K:$K,MATCH(IFERROR(INDEX('05_Theo_Doi_Gio_Cong_7_Ngay'!$R:$R,MATCH(IFERROR(INDEX('02_DS_Nhan_Viec'!$J:$J,MATCH($B65,'02_DS_Nhan_Viec'!$B:$B,0)),""),'05_Theo_Doi_Gio_Cong_7_Ngay'!$B:$B,0)),0),'06_DS_Chinh_Thuc'!$B:$B,0)),"Đang theo dõi"))))</f>
      </c>
    </row>
    <row r="66" ht="14.25" customHeight="1" spans="1:55" x14ac:dyDescent="0.25">
      <c r="A66" s="52">
        <f t="shared" si="0"/>
      </c>
      <c r="B66" s="52">
        <f t="shared" si="1"/>
      </c>
      <c r="C66" s="53"/>
      <c r="D66" s="54"/>
      <c r="E66" s="55"/>
      <c r="F66" s="56"/>
      <c r="G66" s="56"/>
      <c r="H66" s="56"/>
      <c r="I66" s="54"/>
      <c r="J66" s="57"/>
      <c r="K66" s="59"/>
      <c r="L66" s="54"/>
      <c r="M66" s="54"/>
      <c r="N66" s="54"/>
      <c r="O66" s="55"/>
      <c r="P66" s="54"/>
      <c r="Q66" s="58"/>
      <c r="R66" s="54"/>
      <c r="S66" s="54"/>
      <c r="T66" s="59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6"/>
      <c r="AH66" s="56"/>
      <c r="AI66" s="54"/>
      <c r="AJ66" s="54"/>
      <c r="AK66" s="54"/>
      <c r="AL66" s="56"/>
      <c r="AM66" s="56"/>
      <c r="AN66" s="54"/>
      <c r="AO66" s="56"/>
      <c r="AP66" s="54"/>
      <c r="AQ66" s="56"/>
      <c r="AR66" s="54"/>
      <c r="AS66" s="54"/>
      <c r="AT66" s="54"/>
      <c r="AU66" s="59"/>
      <c r="AV66" s="54"/>
      <c r="AW66" s="54"/>
      <c r="AX66" s="59"/>
      <c r="AY66" s="59"/>
      <c r="AZ66" s="59"/>
      <c r="BA66" s="60">
        <f>IFERROR(VLOOKUP(B66,'02_DS_Nhan_Viec'!B:L,5,0),"")</f>
      </c>
      <c r="BB66" s="54"/>
      <c r="BC66" s="61">
        <f t="array" ref="BC66">IF($B66="","",IF(IFERROR(INDEX('02_DS_Nhan_Viec'!$J:$J,MATCH($B66,'02_DS_Nhan_Viec'!$B:$B,0)),"")="","Đang theo dõi",IF(OR(IFERROR(INDEX('05_Theo_Doi_Gio_Cong_7_Ngay'!$R:$R,MATCH(IFERROR(INDEX('02_DS_Nhan_Viec'!$J:$J,MATCH($B66,'02_DS_Nhan_Viec'!$B:$B,0)),""),'05_Theo_Doi_Gio_Cong_7_Ngay'!$B:$B,0)),"")="",IFERROR(INDEX('05_Theo_Doi_Gio_Cong_7_Ngay'!$R:$R,MATCH(IFERROR(INDEX('02_DS_Nhan_Viec'!$J:$J,MATCH($B66,'02_DS_Nhan_Viec'!$B:$B,0)),""),'05_Theo_Doi_Gio_Cong_7_Ngay'!$B:$B,0)),0)=0),"Đang theo dõi",IFERROR(INDEX('06_DS_Chinh_Thuc'!$K:$K,MATCH(IFERROR(INDEX('05_Theo_Doi_Gio_Cong_7_Ngay'!$R:$R,MATCH(IFERROR(INDEX('02_DS_Nhan_Viec'!$J:$J,MATCH($B66,'02_DS_Nhan_Viec'!$B:$B,0)),""),'05_Theo_Doi_Gio_Cong_7_Ngay'!$B:$B,0)),0),'06_DS_Chinh_Thuc'!$B:$B,0)),"Đang theo dõi"))))</f>
      </c>
    </row>
    <row r="67" ht="14.25" customHeight="1" spans="1:55" x14ac:dyDescent="0.25">
      <c r="A67" s="52">
        <f t="shared" si="0"/>
      </c>
      <c r="B67" s="52">
        <f t="shared" si="1"/>
      </c>
      <c r="C67" s="53"/>
      <c r="D67" s="54"/>
      <c r="E67" s="55"/>
      <c r="F67" s="56"/>
      <c r="G67" s="56"/>
      <c r="H67" s="56"/>
      <c r="I67" s="54"/>
      <c r="J67" s="57"/>
      <c r="K67" s="59"/>
      <c r="L67" s="54"/>
      <c r="M67" s="54"/>
      <c r="N67" s="54"/>
      <c r="O67" s="55"/>
      <c r="P67" s="54"/>
      <c r="Q67" s="58"/>
      <c r="R67" s="54"/>
      <c r="S67" s="54"/>
      <c r="T67" s="59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6"/>
      <c r="AH67" s="56"/>
      <c r="AI67" s="54"/>
      <c r="AJ67" s="54"/>
      <c r="AK67" s="54"/>
      <c r="AL67" s="56"/>
      <c r="AM67" s="56"/>
      <c r="AN67" s="54"/>
      <c r="AO67" s="56"/>
      <c r="AP67" s="54"/>
      <c r="AQ67" s="56"/>
      <c r="AR67" s="54"/>
      <c r="AS67" s="54"/>
      <c r="AT67" s="54"/>
      <c r="AU67" s="59"/>
      <c r="AV67" s="54"/>
      <c r="AW67" s="54"/>
      <c r="AX67" s="59"/>
      <c r="AY67" s="59"/>
      <c r="AZ67" s="59"/>
      <c r="BA67" s="60">
        <f>IFERROR(VLOOKUP(B67,'02_DS_Nhan_Viec'!B:L,5,0),"")</f>
      </c>
      <c r="BB67" s="54"/>
      <c r="BC67" s="61">
        <f t="array" ref="BC67">IF($B67="","",IF(IFERROR(INDEX('02_DS_Nhan_Viec'!$J:$J,MATCH($B67,'02_DS_Nhan_Viec'!$B:$B,0)),"")="","Đang theo dõi",IF(OR(IFERROR(INDEX('05_Theo_Doi_Gio_Cong_7_Ngay'!$R:$R,MATCH(IFERROR(INDEX('02_DS_Nhan_Viec'!$J:$J,MATCH($B67,'02_DS_Nhan_Viec'!$B:$B,0)),""),'05_Theo_Doi_Gio_Cong_7_Ngay'!$B:$B,0)),"")="",IFERROR(INDEX('05_Theo_Doi_Gio_Cong_7_Ngay'!$R:$R,MATCH(IFERROR(INDEX('02_DS_Nhan_Viec'!$J:$J,MATCH($B67,'02_DS_Nhan_Viec'!$B:$B,0)),""),'05_Theo_Doi_Gio_Cong_7_Ngay'!$B:$B,0)),0)=0),"Đang theo dõi",IFERROR(INDEX('06_DS_Chinh_Thuc'!$K:$K,MATCH(IFERROR(INDEX('05_Theo_Doi_Gio_Cong_7_Ngay'!$R:$R,MATCH(IFERROR(INDEX('02_DS_Nhan_Viec'!$J:$J,MATCH($B67,'02_DS_Nhan_Viec'!$B:$B,0)),""),'05_Theo_Doi_Gio_Cong_7_Ngay'!$B:$B,0)),0),'06_DS_Chinh_Thuc'!$B:$B,0)),"Đang theo dõi"))))</f>
      </c>
    </row>
    <row r="68" ht="14.25" customHeight="1" spans="1:55" x14ac:dyDescent="0.25">
      <c r="A68" s="52">
        <f t="shared" si="0"/>
      </c>
      <c r="B68" s="52">
        <f t="shared" si="1"/>
      </c>
      <c r="C68" s="53"/>
      <c r="D68" s="54"/>
      <c r="E68" s="55"/>
      <c r="F68" s="56"/>
      <c r="G68" s="56"/>
      <c r="H68" s="56"/>
      <c r="I68" s="54"/>
      <c r="J68" s="57"/>
      <c r="K68" s="59"/>
      <c r="L68" s="54"/>
      <c r="M68" s="54"/>
      <c r="N68" s="54"/>
      <c r="O68" s="55"/>
      <c r="P68" s="54"/>
      <c r="Q68" s="58"/>
      <c r="R68" s="54"/>
      <c r="S68" s="54"/>
      <c r="T68" s="59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6"/>
      <c r="AH68" s="56"/>
      <c r="AI68" s="54"/>
      <c r="AJ68" s="54"/>
      <c r="AK68" s="54"/>
      <c r="AL68" s="56"/>
      <c r="AM68" s="56"/>
      <c r="AN68" s="54"/>
      <c r="AO68" s="56"/>
      <c r="AP68" s="54"/>
      <c r="AQ68" s="56"/>
      <c r="AR68" s="54"/>
      <c r="AS68" s="54"/>
      <c r="AT68" s="54"/>
      <c r="AU68" s="59"/>
      <c r="AV68" s="54"/>
      <c r="AW68" s="54"/>
      <c r="AX68" s="59"/>
      <c r="AY68" s="59"/>
      <c r="AZ68" s="59"/>
      <c r="BA68" s="60">
        <f>IFERROR(VLOOKUP(B68,'02_DS_Nhan_Viec'!B:L,5,0),"")</f>
      </c>
      <c r="BB68" s="54"/>
      <c r="BC68" s="61">
        <f t="array" ref="BC68">IF($B68="","",IF(IFERROR(INDEX('02_DS_Nhan_Viec'!$J:$J,MATCH($B68,'02_DS_Nhan_Viec'!$B:$B,0)),"")="","Đang theo dõi",IF(OR(IFERROR(INDEX('05_Theo_Doi_Gio_Cong_7_Ngay'!$R:$R,MATCH(IFERROR(INDEX('02_DS_Nhan_Viec'!$J:$J,MATCH($B68,'02_DS_Nhan_Viec'!$B:$B,0)),""),'05_Theo_Doi_Gio_Cong_7_Ngay'!$B:$B,0)),"")="",IFERROR(INDEX('05_Theo_Doi_Gio_Cong_7_Ngay'!$R:$R,MATCH(IFERROR(INDEX('02_DS_Nhan_Viec'!$J:$J,MATCH($B68,'02_DS_Nhan_Viec'!$B:$B,0)),""),'05_Theo_Doi_Gio_Cong_7_Ngay'!$B:$B,0)),0)=0),"Đang theo dõi",IFERROR(INDEX('06_DS_Chinh_Thuc'!$K:$K,MATCH(IFERROR(INDEX('05_Theo_Doi_Gio_Cong_7_Ngay'!$R:$R,MATCH(IFERROR(INDEX('02_DS_Nhan_Viec'!$J:$J,MATCH($B68,'02_DS_Nhan_Viec'!$B:$B,0)),""),'05_Theo_Doi_Gio_Cong_7_Ngay'!$B:$B,0)),0),'06_DS_Chinh_Thuc'!$B:$B,0)),"Đang theo dõi"))))</f>
      </c>
    </row>
    <row r="69" ht="14.25" customHeight="1" spans="1:55" x14ac:dyDescent="0.25">
      <c r="A69" s="52">
        <f t="shared" si="0"/>
      </c>
      <c r="B69" s="52">
        <f t="shared" si="1"/>
      </c>
      <c r="C69" s="53"/>
      <c r="D69" s="54"/>
      <c r="E69" s="55"/>
      <c r="F69" s="56"/>
      <c r="G69" s="56"/>
      <c r="H69" s="56"/>
      <c r="I69" s="54"/>
      <c r="J69" s="57"/>
      <c r="K69" s="59"/>
      <c r="L69" s="54"/>
      <c r="M69" s="54"/>
      <c r="N69" s="54"/>
      <c r="O69" s="55"/>
      <c r="P69" s="54"/>
      <c r="Q69" s="58"/>
      <c r="R69" s="54"/>
      <c r="S69" s="54"/>
      <c r="T69" s="59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6"/>
      <c r="AH69" s="56"/>
      <c r="AI69" s="54"/>
      <c r="AJ69" s="54"/>
      <c r="AK69" s="54"/>
      <c r="AL69" s="56"/>
      <c r="AM69" s="56"/>
      <c r="AN69" s="54"/>
      <c r="AO69" s="56"/>
      <c r="AP69" s="54"/>
      <c r="AQ69" s="56"/>
      <c r="AR69" s="54"/>
      <c r="AS69" s="54"/>
      <c r="AT69" s="54"/>
      <c r="AU69" s="59"/>
      <c r="AV69" s="54"/>
      <c r="AW69" s="54"/>
      <c r="AX69" s="59"/>
      <c r="AY69" s="59"/>
      <c r="AZ69" s="59"/>
      <c r="BA69" s="60">
        <f>IFERROR(VLOOKUP(B69,'02_DS_Nhan_Viec'!B:L,5,0),"")</f>
      </c>
      <c r="BB69" s="54"/>
      <c r="BC69" s="61">
        <f t="array" ref="BC69">IF($B69="","",IF(IFERROR(INDEX('02_DS_Nhan_Viec'!$J:$J,MATCH($B69,'02_DS_Nhan_Viec'!$B:$B,0)),"")="","Đang theo dõi",IF(OR(IFERROR(INDEX('05_Theo_Doi_Gio_Cong_7_Ngay'!$R:$R,MATCH(IFERROR(INDEX('02_DS_Nhan_Viec'!$J:$J,MATCH($B69,'02_DS_Nhan_Viec'!$B:$B,0)),""),'05_Theo_Doi_Gio_Cong_7_Ngay'!$B:$B,0)),"")="",IFERROR(INDEX('05_Theo_Doi_Gio_Cong_7_Ngay'!$R:$R,MATCH(IFERROR(INDEX('02_DS_Nhan_Viec'!$J:$J,MATCH($B69,'02_DS_Nhan_Viec'!$B:$B,0)),""),'05_Theo_Doi_Gio_Cong_7_Ngay'!$B:$B,0)),0)=0),"Đang theo dõi",IFERROR(INDEX('06_DS_Chinh_Thuc'!$K:$K,MATCH(IFERROR(INDEX('05_Theo_Doi_Gio_Cong_7_Ngay'!$R:$R,MATCH(IFERROR(INDEX('02_DS_Nhan_Viec'!$J:$J,MATCH($B69,'02_DS_Nhan_Viec'!$B:$B,0)),""),'05_Theo_Doi_Gio_Cong_7_Ngay'!$B:$B,0)),0),'06_DS_Chinh_Thuc'!$B:$B,0)),"Đang theo dõi"))))</f>
      </c>
    </row>
    <row r="70" ht="14.25" customHeight="1" spans="1:55" x14ac:dyDescent="0.25">
      <c r="A70" s="52">
        <f t="shared" si="0"/>
      </c>
      <c r="B70" s="52">
        <f t="shared" si="1"/>
      </c>
      <c r="C70" s="53"/>
      <c r="D70" s="54"/>
      <c r="E70" s="55"/>
      <c r="F70" s="56"/>
      <c r="G70" s="56"/>
      <c r="H70" s="56"/>
      <c r="I70" s="54"/>
      <c r="J70" s="57"/>
      <c r="K70" s="59"/>
      <c r="L70" s="54"/>
      <c r="M70" s="54"/>
      <c r="N70" s="54"/>
      <c r="O70" s="55"/>
      <c r="P70" s="54"/>
      <c r="Q70" s="58"/>
      <c r="R70" s="54"/>
      <c r="S70" s="54"/>
      <c r="T70" s="59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6"/>
      <c r="AH70" s="56"/>
      <c r="AI70" s="54"/>
      <c r="AJ70" s="54"/>
      <c r="AK70" s="54"/>
      <c r="AL70" s="56"/>
      <c r="AM70" s="56"/>
      <c r="AN70" s="54"/>
      <c r="AO70" s="56"/>
      <c r="AP70" s="54"/>
      <c r="AQ70" s="56"/>
      <c r="AR70" s="54"/>
      <c r="AS70" s="54"/>
      <c r="AT70" s="54"/>
      <c r="AU70" s="59"/>
      <c r="AV70" s="54"/>
      <c r="AW70" s="54"/>
      <c r="AX70" s="59"/>
      <c r="AY70" s="59"/>
      <c r="AZ70" s="59"/>
      <c r="BA70" s="60">
        <f>IFERROR(VLOOKUP(B70,'02_DS_Nhan_Viec'!B:L,5,0),"")</f>
      </c>
      <c r="BB70" s="54"/>
      <c r="BC70" s="61">
        <f t="array" ref="BC70">IF($B70="","",IF(IFERROR(INDEX('02_DS_Nhan_Viec'!$J:$J,MATCH($B70,'02_DS_Nhan_Viec'!$B:$B,0)),"")="","Đang theo dõi",IF(OR(IFERROR(INDEX('05_Theo_Doi_Gio_Cong_7_Ngay'!$R:$R,MATCH(IFERROR(INDEX('02_DS_Nhan_Viec'!$J:$J,MATCH($B70,'02_DS_Nhan_Viec'!$B:$B,0)),""),'05_Theo_Doi_Gio_Cong_7_Ngay'!$B:$B,0)),"")="",IFERROR(INDEX('05_Theo_Doi_Gio_Cong_7_Ngay'!$R:$R,MATCH(IFERROR(INDEX('02_DS_Nhan_Viec'!$J:$J,MATCH($B70,'02_DS_Nhan_Viec'!$B:$B,0)),""),'05_Theo_Doi_Gio_Cong_7_Ngay'!$B:$B,0)),0)=0),"Đang theo dõi",IFERROR(INDEX('06_DS_Chinh_Thuc'!$K:$K,MATCH(IFERROR(INDEX('05_Theo_Doi_Gio_Cong_7_Ngay'!$R:$R,MATCH(IFERROR(INDEX('02_DS_Nhan_Viec'!$J:$J,MATCH($B70,'02_DS_Nhan_Viec'!$B:$B,0)),""),'05_Theo_Doi_Gio_Cong_7_Ngay'!$B:$B,0)),0),'06_DS_Chinh_Thuc'!$B:$B,0)),"Đang theo dõi"))))</f>
      </c>
    </row>
    <row r="71" ht="14.25" customHeight="1" spans="1:55" x14ac:dyDescent="0.25">
      <c r="A71" s="52">
        <f t="shared" si="0"/>
      </c>
      <c r="B71" s="52">
        <f t="shared" si="1"/>
      </c>
      <c r="C71" s="53"/>
      <c r="D71" s="54"/>
      <c r="E71" s="55"/>
      <c r="F71" s="56"/>
      <c r="G71" s="56"/>
      <c r="H71" s="56"/>
      <c r="I71" s="54"/>
      <c r="J71" s="57"/>
      <c r="K71" s="59"/>
      <c r="L71" s="54"/>
      <c r="M71" s="54"/>
      <c r="N71" s="54"/>
      <c r="O71" s="55"/>
      <c r="P71" s="54"/>
      <c r="Q71" s="58"/>
      <c r="R71" s="54"/>
      <c r="S71" s="54"/>
      <c r="T71" s="59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6"/>
      <c r="AH71" s="56"/>
      <c r="AI71" s="54"/>
      <c r="AJ71" s="54"/>
      <c r="AK71" s="54"/>
      <c r="AL71" s="56"/>
      <c r="AM71" s="56"/>
      <c r="AN71" s="54"/>
      <c r="AO71" s="56"/>
      <c r="AP71" s="54"/>
      <c r="AQ71" s="56"/>
      <c r="AR71" s="54"/>
      <c r="AS71" s="54"/>
      <c r="AT71" s="54"/>
      <c r="AU71" s="59"/>
      <c r="AV71" s="54"/>
      <c r="AW71" s="54"/>
      <c r="AX71" s="59"/>
      <c r="AY71" s="59"/>
      <c r="AZ71" s="59"/>
      <c r="BA71" s="60">
        <f>IFERROR(VLOOKUP(B71,'02_DS_Nhan_Viec'!B:L,5,0),"")</f>
      </c>
      <c r="BB71" s="54"/>
      <c r="BC71" s="61">
        <f t="array" ref="BC71">IF($B71="","",IF(IFERROR(INDEX('02_DS_Nhan_Viec'!$J:$J,MATCH($B71,'02_DS_Nhan_Viec'!$B:$B,0)),"")="","Đang theo dõi",IF(OR(IFERROR(INDEX('05_Theo_Doi_Gio_Cong_7_Ngay'!$R:$R,MATCH(IFERROR(INDEX('02_DS_Nhan_Viec'!$J:$J,MATCH($B71,'02_DS_Nhan_Viec'!$B:$B,0)),""),'05_Theo_Doi_Gio_Cong_7_Ngay'!$B:$B,0)),"")="",IFERROR(INDEX('05_Theo_Doi_Gio_Cong_7_Ngay'!$R:$R,MATCH(IFERROR(INDEX('02_DS_Nhan_Viec'!$J:$J,MATCH($B71,'02_DS_Nhan_Viec'!$B:$B,0)),""),'05_Theo_Doi_Gio_Cong_7_Ngay'!$B:$B,0)),0)=0),"Đang theo dõi",IFERROR(INDEX('06_DS_Chinh_Thuc'!$K:$K,MATCH(IFERROR(INDEX('05_Theo_Doi_Gio_Cong_7_Ngay'!$R:$R,MATCH(IFERROR(INDEX('02_DS_Nhan_Viec'!$J:$J,MATCH($B71,'02_DS_Nhan_Viec'!$B:$B,0)),""),'05_Theo_Doi_Gio_Cong_7_Ngay'!$B:$B,0)),0),'06_DS_Chinh_Thuc'!$B:$B,0)),"Đang theo dõi"))))</f>
      </c>
    </row>
    <row r="72" ht="14.25" customHeight="1" spans="1:55" x14ac:dyDescent="0.25">
      <c r="A72" s="52">
        <f t="shared" si="0"/>
      </c>
      <c r="B72" s="52">
        <f t="shared" si="1"/>
      </c>
      <c r="C72" s="53"/>
      <c r="D72" s="54"/>
      <c r="E72" s="55"/>
      <c r="F72" s="56"/>
      <c r="G72" s="56"/>
      <c r="H72" s="56"/>
      <c r="I72" s="54"/>
      <c r="J72" s="57"/>
      <c r="K72" s="59"/>
      <c r="L72" s="54"/>
      <c r="M72" s="54"/>
      <c r="N72" s="54"/>
      <c r="O72" s="55"/>
      <c r="P72" s="54"/>
      <c r="Q72" s="58"/>
      <c r="R72" s="54"/>
      <c r="S72" s="54"/>
      <c r="T72" s="59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6"/>
      <c r="AH72" s="56"/>
      <c r="AI72" s="54"/>
      <c r="AJ72" s="54"/>
      <c r="AK72" s="54"/>
      <c r="AL72" s="56"/>
      <c r="AM72" s="56"/>
      <c r="AN72" s="54"/>
      <c r="AO72" s="56"/>
      <c r="AP72" s="54"/>
      <c r="AQ72" s="56"/>
      <c r="AR72" s="54"/>
      <c r="AS72" s="54"/>
      <c r="AT72" s="54"/>
      <c r="AU72" s="59"/>
      <c r="AV72" s="54"/>
      <c r="AW72" s="54"/>
      <c r="AX72" s="59"/>
      <c r="AY72" s="59"/>
      <c r="AZ72" s="59"/>
      <c r="BA72" s="60">
        <f>IFERROR(VLOOKUP(B72,'02_DS_Nhan_Viec'!B:L,5,0),"")</f>
      </c>
      <c r="BB72" s="54"/>
      <c r="BC72" s="61">
        <f t="array" ref="BC72">IF($B72="","",IF(IFERROR(INDEX('02_DS_Nhan_Viec'!$J:$J,MATCH($B72,'02_DS_Nhan_Viec'!$B:$B,0)),"")="","Đang theo dõi",IF(OR(IFERROR(INDEX('05_Theo_Doi_Gio_Cong_7_Ngay'!$R:$R,MATCH(IFERROR(INDEX('02_DS_Nhan_Viec'!$J:$J,MATCH($B72,'02_DS_Nhan_Viec'!$B:$B,0)),""),'05_Theo_Doi_Gio_Cong_7_Ngay'!$B:$B,0)),"")="",IFERROR(INDEX('05_Theo_Doi_Gio_Cong_7_Ngay'!$R:$R,MATCH(IFERROR(INDEX('02_DS_Nhan_Viec'!$J:$J,MATCH($B72,'02_DS_Nhan_Viec'!$B:$B,0)),""),'05_Theo_Doi_Gio_Cong_7_Ngay'!$B:$B,0)),0)=0),"Đang theo dõi",IFERROR(INDEX('06_DS_Chinh_Thuc'!$K:$K,MATCH(IFERROR(INDEX('05_Theo_Doi_Gio_Cong_7_Ngay'!$R:$R,MATCH(IFERROR(INDEX('02_DS_Nhan_Viec'!$J:$J,MATCH($B72,'02_DS_Nhan_Viec'!$B:$B,0)),""),'05_Theo_Doi_Gio_Cong_7_Ngay'!$B:$B,0)),0),'06_DS_Chinh_Thuc'!$B:$B,0)),"Đang theo dõi"))))</f>
      </c>
    </row>
    <row r="73" ht="14.25" customHeight="1" spans="1:55" x14ac:dyDescent="0.25">
      <c r="A73" s="52">
        <f t="shared" si="0"/>
      </c>
      <c r="B73" s="52">
        <f t="shared" si="1"/>
      </c>
      <c r="C73" s="53"/>
      <c r="D73" s="54"/>
      <c r="E73" s="55"/>
      <c r="F73" s="56"/>
      <c r="G73" s="56"/>
      <c r="H73" s="56"/>
      <c r="I73" s="54"/>
      <c r="J73" s="57"/>
      <c r="K73" s="59"/>
      <c r="L73" s="54"/>
      <c r="M73" s="54"/>
      <c r="N73" s="54"/>
      <c r="O73" s="55"/>
      <c r="P73" s="54"/>
      <c r="Q73" s="58"/>
      <c r="R73" s="54"/>
      <c r="S73" s="54"/>
      <c r="T73" s="59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6"/>
      <c r="AH73" s="56"/>
      <c r="AI73" s="54"/>
      <c r="AJ73" s="54"/>
      <c r="AK73" s="54"/>
      <c r="AL73" s="56"/>
      <c r="AM73" s="56"/>
      <c r="AN73" s="54"/>
      <c r="AO73" s="56"/>
      <c r="AP73" s="54"/>
      <c r="AQ73" s="56"/>
      <c r="AR73" s="54"/>
      <c r="AS73" s="54"/>
      <c r="AT73" s="54"/>
      <c r="AU73" s="59"/>
      <c r="AV73" s="54"/>
      <c r="AW73" s="54"/>
      <c r="AX73" s="59"/>
      <c r="AY73" s="59"/>
      <c r="AZ73" s="59"/>
      <c r="BA73" s="60">
        <f>IFERROR(VLOOKUP(B73,'02_DS_Nhan_Viec'!B:L,5,0),"")</f>
      </c>
      <c r="BB73" s="54"/>
      <c r="BC73" s="61">
        <f t="array" ref="BC73">IF($B73="","",IF(IFERROR(INDEX('02_DS_Nhan_Viec'!$J:$J,MATCH($B73,'02_DS_Nhan_Viec'!$B:$B,0)),"")="","Đang theo dõi",IF(OR(IFERROR(INDEX('05_Theo_Doi_Gio_Cong_7_Ngay'!$R:$R,MATCH(IFERROR(INDEX('02_DS_Nhan_Viec'!$J:$J,MATCH($B73,'02_DS_Nhan_Viec'!$B:$B,0)),""),'05_Theo_Doi_Gio_Cong_7_Ngay'!$B:$B,0)),"")="",IFERROR(INDEX('05_Theo_Doi_Gio_Cong_7_Ngay'!$R:$R,MATCH(IFERROR(INDEX('02_DS_Nhan_Viec'!$J:$J,MATCH($B73,'02_DS_Nhan_Viec'!$B:$B,0)),""),'05_Theo_Doi_Gio_Cong_7_Ngay'!$B:$B,0)),0)=0),"Đang theo dõi",IFERROR(INDEX('06_DS_Chinh_Thuc'!$K:$K,MATCH(IFERROR(INDEX('05_Theo_Doi_Gio_Cong_7_Ngay'!$R:$R,MATCH(IFERROR(INDEX('02_DS_Nhan_Viec'!$J:$J,MATCH($B73,'02_DS_Nhan_Viec'!$B:$B,0)),""),'05_Theo_Doi_Gio_Cong_7_Ngay'!$B:$B,0)),0),'06_DS_Chinh_Thuc'!$B:$B,0)),"Đang theo dõi"))))</f>
      </c>
    </row>
    <row r="74" ht="14.25" customHeight="1" spans="1:55" x14ac:dyDescent="0.25">
      <c r="A74" s="52">
        <f t="shared" si="0"/>
      </c>
      <c r="B74" s="52">
        <f t="shared" si="1"/>
      </c>
      <c r="C74" s="53"/>
      <c r="D74" s="54"/>
      <c r="E74" s="55"/>
      <c r="F74" s="56"/>
      <c r="G74" s="56"/>
      <c r="H74" s="56"/>
      <c r="I74" s="54"/>
      <c r="J74" s="57"/>
      <c r="K74" s="59"/>
      <c r="L74" s="54"/>
      <c r="M74" s="54"/>
      <c r="N74" s="54"/>
      <c r="O74" s="55"/>
      <c r="P74" s="54"/>
      <c r="Q74" s="58"/>
      <c r="R74" s="54"/>
      <c r="S74" s="54"/>
      <c r="T74" s="59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6"/>
      <c r="AH74" s="56"/>
      <c r="AI74" s="54"/>
      <c r="AJ74" s="54"/>
      <c r="AK74" s="54"/>
      <c r="AL74" s="56"/>
      <c r="AM74" s="56"/>
      <c r="AN74" s="54"/>
      <c r="AO74" s="56"/>
      <c r="AP74" s="54"/>
      <c r="AQ74" s="56"/>
      <c r="AR74" s="54"/>
      <c r="AS74" s="54"/>
      <c r="AT74" s="54"/>
      <c r="AU74" s="59"/>
      <c r="AV74" s="54"/>
      <c r="AW74" s="54"/>
      <c r="AX74" s="59"/>
      <c r="AY74" s="59"/>
      <c r="AZ74" s="59"/>
      <c r="BA74" s="60">
        <f>IFERROR(VLOOKUP(B74,'02_DS_Nhan_Viec'!B:L,5,0),"")</f>
      </c>
      <c r="BB74" s="54"/>
      <c r="BC74" s="61">
        <f t="array" ref="BC74">IF($B74="","",IF(IFERROR(INDEX('02_DS_Nhan_Viec'!$J:$J,MATCH($B74,'02_DS_Nhan_Viec'!$B:$B,0)),"")="","Đang theo dõi",IF(OR(IFERROR(INDEX('05_Theo_Doi_Gio_Cong_7_Ngay'!$R:$R,MATCH(IFERROR(INDEX('02_DS_Nhan_Viec'!$J:$J,MATCH($B74,'02_DS_Nhan_Viec'!$B:$B,0)),""),'05_Theo_Doi_Gio_Cong_7_Ngay'!$B:$B,0)),"")="",IFERROR(INDEX('05_Theo_Doi_Gio_Cong_7_Ngay'!$R:$R,MATCH(IFERROR(INDEX('02_DS_Nhan_Viec'!$J:$J,MATCH($B74,'02_DS_Nhan_Viec'!$B:$B,0)),""),'05_Theo_Doi_Gio_Cong_7_Ngay'!$B:$B,0)),0)=0),"Đang theo dõi",IFERROR(INDEX('06_DS_Chinh_Thuc'!$K:$K,MATCH(IFERROR(INDEX('05_Theo_Doi_Gio_Cong_7_Ngay'!$R:$R,MATCH(IFERROR(INDEX('02_DS_Nhan_Viec'!$J:$J,MATCH($B74,'02_DS_Nhan_Viec'!$B:$B,0)),""),'05_Theo_Doi_Gio_Cong_7_Ngay'!$B:$B,0)),0),'06_DS_Chinh_Thuc'!$B:$B,0)),"Đang theo dõi"))))</f>
      </c>
    </row>
    <row r="75" ht="14.25" customHeight="1" spans="1:55" x14ac:dyDescent="0.25">
      <c r="A75" s="52">
        <f t="shared" si="0"/>
      </c>
      <c r="B75" s="52">
        <f t="shared" si="1"/>
      </c>
      <c r="C75" s="53"/>
      <c r="D75" s="54"/>
      <c r="E75" s="55"/>
      <c r="F75" s="56"/>
      <c r="G75" s="56"/>
      <c r="H75" s="56"/>
      <c r="I75" s="54"/>
      <c r="J75" s="57"/>
      <c r="K75" s="59"/>
      <c r="L75" s="54"/>
      <c r="M75" s="54"/>
      <c r="N75" s="54"/>
      <c r="O75" s="55"/>
      <c r="P75" s="54"/>
      <c r="Q75" s="58"/>
      <c r="R75" s="54"/>
      <c r="S75" s="54"/>
      <c r="T75" s="59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6"/>
      <c r="AH75" s="56"/>
      <c r="AI75" s="54"/>
      <c r="AJ75" s="54"/>
      <c r="AK75" s="54"/>
      <c r="AL75" s="56"/>
      <c r="AM75" s="56"/>
      <c r="AN75" s="54"/>
      <c r="AO75" s="56"/>
      <c r="AP75" s="54"/>
      <c r="AQ75" s="56"/>
      <c r="AR75" s="54"/>
      <c r="AS75" s="54"/>
      <c r="AT75" s="54"/>
      <c r="AU75" s="59"/>
      <c r="AV75" s="54"/>
      <c r="AW75" s="54"/>
      <c r="AX75" s="59"/>
      <c r="AY75" s="59"/>
      <c r="AZ75" s="59"/>
      <c r="BA75" s="60">
        <f>IFERROR(VLOOKUP(B75,'02_DS_Nhan_Viec'!B:L,5,0),"")</f>
      </c>
      <c r="BB75" s="54"/>
      <c r="BC75" s="61">
        <f t="array" ref="BC75">IF($B75="","",IF(IFERROR(INDEX('02_DS_Nhan_Viec'!$J:$J,MATCH($B75,'02_DS_Nhan_Viec'!$B:$B,0)),"")="","Đang theo dõi",IF(OR(IFERROR(INDEX('05_Theo_Doi_Gio_Cong_7_Ngay'!$R:$R,MATCH(IFERROR(INDEX('02_DS_Nhan_Viec'!$J:$J,MATCH($B75,'02_DS_Nhan_Viec'!$B:$B,0)),""),'05_Theo_Doi_Gio_Cong_7_Ngay'!$B:$B,0)),"")="",IFERROR(INDEX('05_Theo_Doi_Gio_Cong_7_Ngay'!$R:$R,MATCH(IFERROR(INDEX('02_DS_Nhan_Viec'!$J:$J,MATCH($B75,'02_DS_Nhan_Viec'!$B:$B,0)),""),'05_Theo_Doi_Gio_Cong_7_Ngay'!$B:$B,0)),0)=0),"Đang theo dõi",IFERROR(INDEX('06_DS_Chinh_Thuc'!$K:$K,MATCH(IFERROR(INDEX('05_Theo_Doi_Gio_Cong_7_Ngay'!$R:$R,MATCH(IFERROR(INDEX('02_DS_Nhan_Viec'!$J:$J,MATCH($B75,'02_DS_Nhan_Viec'!$B:$B,0)),""),'05_Theo_Doi_Gio_Cong_7_Ngay'!$B:$B,0)),0),'06_DS_Chinh_Thuc'!$B:$B,0)),"Đang theo dõi"))))</f>
      </c>
    </row>
    <row r="76" ht="14.25" customHeight="1" spans="1:55" x14ac:dyDescent="0.25">
      <c r="A76" s="52">
        <f t="shared" si="0"/>
      </c>
      <c r="B76" s="52">
        <f t="shared" si="1"/>
      </c>
      <c r="C76" s="53"/>
      <c r="D76" s="54"/>
      <c r="E76" s="55"/>
      <c r="F76" s="56"/>
      <c r="G76" s="56"/>
      <c r="H76" s="56"/>
      <c r="I76" s="54"/>
      <c r="J76" s="57"/>
      <c r="K76" s="59"/>
      <c r="L76" s="54"/>
      <c r="M76" s="54"/>
      <c r="N76" s="54"/>
      <c r="O76" s="55"/>
      <c r="P76" s="54"/>
      <c r="Q76" s="58"/>
      <c r="R76" s="54"/>
      <c r="S76" s="54"/>
      <c r="T76" s="59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6"/>
      <c r="AH76" s="56"/>
      <c r="AI76" s="54"/>
      <c r="AJ76" s="54"/>
      <c r="AK76" s="54"/>
      <c r="AL76" s="56"/>
      <c r="AM76" s="56"/>
      <c r="AN76" s="54"/>
      <c r="AO76" s="56"/>
      <c r="AP76" s="54"/>
      <c r="AQ76" s="56"/>
      <c r="AR76" s="54"/>
      <c r="AS76" s="54"/>
      <c r="AT76" s="54"/>
      <c r="AU76" s="59"/>
      <c r="AV76" s="54"/>
      <c r="AW76" s="54"/>
      <c r="AX76" s="59"/>
      <c r="AY76" s="59"/>
      <c r="AZ76" s="59"/>
      <c r="BA76" s="60">
        <f>IFERROR(VLOOKUP(B76,'02_DS_Nhan_Viec'!B:L,5,0),"")</f>
      </c>
      <c r="BB76" s="54"/>
      <c r="BC76" s="61">
        <f t="array" ref="BC76">IF($B76="","",IF(IFERROR(INDEX('02_DS_Nhan_Viec'!$J:$J,MATCH($B76,'02_DS_Nhan_Viec'!$B:$B,0)),"")="","Đang theo dõi",IF(OR(IFERROR(INDEX('05_Theo_Doi_Gio_Cong_7_Ngay'!$R:$R,MATCH(IFERROR(INDEX('02_DS_Nhan_Viec'!$J:$J,MATCH($B76,'02_DS_Nhan_Viec'!$B:$B,0)),""),'05_Theo_Doi_Gio_Cong_7_Ngay'!$B:$B,0)),"")="",IFERROR(INDEX('05_Theo_Doi_Gio_Cong_7_Ngay'!$R:$R,MATCH(IFERROR(INDEX('02_DS_Nhan_Viec'!$J:$J,MATCH($B76,'02_DS_Nhan_Viec'!$B:$B,0)),""),'05_Theo_Doi_Gio_Cong_7_Ngay'!$B:$B,0)),0)=0),"Đang theo dõi",IFERROR(INDEX('06_DS_Chinh_Thuc'!$K:$K,MATCH(IFERROR(INDEX('05_Theo_Doi_Gio_Cong_7_Ngay'!$R:$R,MATCH(IFERROR(INDEX('02_DS_Nhan_Viec'!$J:$J,MATCH($B76,'02_DS_Nhan_Viec'!$B:$B,0)),""),'05_Theo_Doi_Gio_Cong_7_Ngay'!$B:$B,0)),0),'06_DS_Chinh_Thuc'!$B:$B,0)),"Đang theo dõi"))))</f>
      </c>
    </row>
    <row r="77" ht="14.25" customHeight="1" spans="1:55" x14ac:dyDescent="0.25">
      <c r="A77" s="52">
        <f t="shared" si="0"/>
      </c>
      <c r="B77" s="52">
        <f t="shared" si="1"/>
      </c>
      <c r="C77" s="53"/>
      <c r="D77" s="54"/>
      <c r="E77" s="55"/>
      <c r="F77" s="56"/>
      <c r="G77" s="56"/>
      <c r="H77" s="56"/>
      <c r="I77" s="54"/>
      <c r="J77" s="57"/>
      <c r="K77" s="59"/>
      <c r="L77" s="54"/>
      <c r="M77" s="54"/>
      <c r="N77" s="54"/>
      <c r="O77" s="55"/>
      <c r="P77" s="54"/>
      <c r="Q77" s="58"/>
      <c r="R77" s="54"/>
      <c r="S77" s="54"/>
      <c r="T77" s="59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6"/>
      <c r="AH77" s="56"/>
      <c r="AI77" s="54"/>
      <c r="AJ77" s="54"/>
      <c r="AK77" s="54"/>
      <c r="AL77" s="56"/>
      <c r="AM77" s="56"/>
      <c r="AN77" s="54"/>
      <c r="AO77" s="56"/>
      <c r="AP77" s="54"/>
      <c r="AQ77" s="56"/>
      <c r="AR77" s="54"/>
      <c r="AS77" s="54"/>
      <c r="AT77" s="54"/>
      <c r="AU77" s="59"/>
      <c r="AV77" s="54"/>
      <c r="AW77" s="54"/>
      <c r="AX77" s="59"/>
      <c r="AY77" s="59"/>
      <c r="AZ77" s="59"/>
      <c r="BA77" s="60">
        <f>IFERROR(VLOOKUP(B77,'02_DS_Nhan_Viec'!B:L,5,0),"")</f>
      </c>
      <c r="BB77" s="54"/>
      <c r="BC77" s="61">
        <f t="array" ref="BC77">IF($B77="","",IF(IFERROR(INDEX('02_DS_Nhan_Viec'!$J:$J,MATCH($B77,'02_DS_Nhan_Viec'!$B:$B,0)),"")="","Đang theo dõi",IF(OR(IFERROR(INDEX('05_Theo_Doi_Gio_Cong_7_Ngay'!$R:$R,MATCH(IFERROR(INDEX('02_DS_Nhan_Viec'!$J:$J,MATCH($B77,'02_DS_Nhan_Viec'!$B:$B,0)),""),'05_Theo_Doi_Gio_Cong_7_Ngay'!$B:$B,0)),"")="",IFERROR(INDEX('05_Theo_Doi_Gio_Cong_7_Ngay'!$R:$R,MATCH(IFERROR(INDEX('02_DS_Nhan_Viec'!$J:$J,MATCH($B77,'02_DS_Nhan_Viec'!$B:$B,0)),""),'05_Theo_Doi_Gio_Cong_7_Ngay'!$B:$B,0)),0)=0),"Đang theo dõi",IFERROR(INDEX('06_DS_Chinh_Thuc'!$K:$K,MATCH(IFERROR(INDEX('05_Theo_Doi_Gio_Cong_7_Ngay'!$R:$R,MATCH(IFERROR(INDEX('02_DS_Nhan_Viec'!$J:$J,MATCH($B77,'02_DS_Nhan_Viec'!$B:$B,0)),""),'05_Theo_Doi_Gio_Cong_7_Ngay'!$B:$B,0)),0),'06_DS_Chinh_Thuc'!$B:$B,0)),"Đang theo dõi"))))</f>
      </c>
    </row>
    <row r="78" ht="14.25" customHeight="1" spans="1:55" x14ac:dyDescent="0.25">
      <c r="A78" s="52">
        <f t="shared" si="0"/>
      </c>
      <c r="B78" s="52">
        <f t="shared" si="1"/>
      </c>
      <c r="C78" s="53"/>
      <c r="D78" s="54"/>
      <c r="E78" s="55"/>
      <c r="F78" s="56"/>
      <c r="G78" s="56"/>
      <c r="H78" s="56"/>
      <c r="I78" s="54"/>
      <c r="J78" s="57"/>
      <c r="K78" s="59"/>
      <c r="L78" s="54"/>
      <c r="M78" s="54"/>
      <c r="N78" s="54"/>
      <c r="O78" s="55"/>
      <c r="P78" s="54"/>
      <c r="Q78" s="58"/>
      <c r="R78" s="54"/>
      <c r="S78" s="54"/>
      <c r="T78" s="59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6"/>
      <c r="AH78" s="56"/>
      <c r="AI78" s="54"/>
      <c r="AJ78" s="54"/>
      <c r="AK78" s="54"/>
      <c r="AL78" s="56"/>
      <c r="AM78" s="56"/>
      <c r="AN78" s="54"/>
      <c r="AO78" s="56"/>
      <c r="AP78" s="54"/>
      <c r="AQ78" s="56"/>
      <c r="AR78" s="54"/>
      <c r="AS78" s="54"/>
      <c r="AT78" s="54"/>
      <c r="AU78" s="59"/>
      <c r="AV78" s="54"/>
      <c r="AW78" s="54"/>
      <c r="AX78" s="59"/>
      <c r="AY78" s="59"/>
      <c r="AZ78" s="59"/>
      <c r="BA78" s="60">
        <f>IFERROR(VLOOKUP(B78,'02_DS_Nhan_Viec'!B:L,5,0),"")</f>
      </c>
      <c r="BB78" s="54"/>
      <c r="BC78" s="61">
        <f t="array" ref="BC78">IF($B78="","",IF(IFERROR(INDEX('02_DS_Nhan_Viec'!$J:$J,MATCH($B78,'02_DS_Nhan_Viec'!$B:$B,0)),"")="","Đang theo dõi",IF(OR(IFERROR(INDEX('05_Theo_Doi_Gio_Cong_7_Ngay'!$R:$R,MATCH(IFERROR(INDEX('02_DS_Nhan_Viec'!$J:$J,MATCH($B78,'02_DS_Nhan_Viec'!$B:$B,0)),""),'05_Theo_Doi_Gio_Cong_7_Ngay'!$B:$B,0)),"")="",IFERROR(INDEX('05_Theo_Doi_Gio_Cong_7_Ngay'!$R:$R,MATCH(IFERROR(INDEX('02_DS_Nhan_Viec'!$J:$J,MATCH($B78,'02_DS_Nhan_Viec'!$B:$B,0)),""),'05_Theo_Doi_Gio_Cong_7_Ngay'!$B:$B,0)),0)=0),"Đang theo dõi",IFERROR(INDEX('06_DS_Chinh_Thuc'!$K:$K,MATCH(IFERROR(INDEX('05_Theo_Doi_Gio_Cong_7_Ngay'!$R:$R,MATCH(IFERROR(INDEX('02_DS_Nhan_Viec'!$J:$J,MATCH($B78,'02_DS_Nhan_Viec'!$B:$B,0)),""),'05_Theo_Doi_Gio_Cong_7_Ngay'!$B:$B,0)),0),'06_DS_Chinh_Thuc'!$B:$B,0)),"Đang theo dõi"))))</f>
      </c>
    </row>
    <row r="79" ht="14.25" customHeight="1" spans="1:55" x14ac:dyDescent="0.25">
      <c r="A79" s="52">
        <f t="shared" si="0"/>
      </c>
      <c r="B79" s="52">
        <f t="shared" si="1"/>
      </c>
      <c r="C79" s="53"/>
      <c r="D79" s="54"/>
      <c r="E79" s="55"/>
      <c r="F79" s="56"/>
      <c r="G79" s="56"/>
      <c r="H79" s="56"/>
      <c r="I79" s="54"/>
      <c r="J79" s="57"/>
      <c r="K79" s="59"/>
      <c r="L79" s="54"/>
      <c r="M79" s="54"/>
      <c r="N79" s="54"/>
      <c r="O79" s="55"/>
      <c r="P79" s="54"/>
      <c r="Q79" s="58"/>
      <c r="R79" s="54"/>
      <c r="S79" s="54"/>
      <c r="T79" s="59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6"/>
      <c r="AH79" s="56"/>
      <c r="AI79" s="54"/>
      <c r="AJ79" s="54"/>
      <c r="AK79" s="54"/>
      <c r="AL79" s="56"/>
      <c r="AM79" s="56"/>
      <c r="AN79" s="54"/>
      <c r="AO79" s="56"/>
      <c r="AP79" s="54"/>
      <c r="AQ79" s="56"/>
      <c r="AR79" s="54"/>
      <c r="AS79" s="54"/>
      <c r="AT79" s="54"/>
      <c r="AU79" s="59"/>
      <c r="AV79" s="54"/>
      <c r="AW79" s="54"/>
      <c r="AX79" s="59"/>
      <c r="AY79" s="59"/>
      <c r="AZ79" s="59"/>
      <c r="BA79" s="60">
        <f>IFERROR(VLOOKUP(B79,'02_DS_Nhan_Viec'!B:L,5,0),"")</f>
      </c>
      <c r="BB79" s="54"/>
      <c r="BC79" s="61">
        <f t="array" ref="BC79">IF($B79="","",IF(IFERROR(INDEX('02_DS_Nhan_Viec'!$J:$J,MATCH($B79,'02_DS_Nhan_Viec'!$B:$B,0)),"")="","Đang theo dõi",IF(OR(IFERROR(INDEX('05_Theo_Doi_Gio_Cong_7_Ngay'!$R:$R,MATCH(IFERROR(INDEX('02_DS_Nhan_Viec'!$J:$J,MATCH($B79,'02_DS_Nhan_Viec'!$B:$B,0)),""),'05_Theo_Doi_Gio_Cong_7_Ngay'!$B:$B,0)),"")="",IFERROR(INDEX('05_Theo_Doi_Gio_Cong_7_Ngay'!$R:$R,MATCH(IFERROR(INDEX('02_DS_Nhan_Viec'!$J:$J,MATCH($B79,'02_DS_Nhan_Viec'!$B:$B,0)),""),'05_Theo_Doi_Gio_Cong_7_Ngay'!$B:$B,0)),0)=0),"Đang theo dõi",IFERROR(INDEX('06_DS_Chinh_Thuc'!$K:$K,MATCH(IFERROR(INDEX('05_Theo_Doi_Gio_Cong_7_Ngay'!$R:$R,MATCH(IFERROR(INDEX('02_DS_Nhan_Viec'!$J:$J,MATCH($B79,'02_DS_Nhan_Viec'!$B:$B,0)),""),'05_Theo_Doi_Gio_Cong_7_Ngay'!$B:$B,0)),0),'06_DS_Chinh_Thuc'!$B:$B,0)),"Đang theo dõi"))))</f>
      </c>
    </row>
    <row r="80" ht="14.25" customHeight="1" spans="1:55" x14ac:dyDescent="0.25">
      <c r="A80" s="52">
        <f t="shared" si="0"/>
      </c>
      <c r="B80" s="52">
        <f t="shared" si="1"/>
      </c>
      <c r="C80" s="53"/>
      <c r="D80" s="54"/>
      <c r="E80" s="55"/>
      <c r="F80" s="56"/>
      <c r="G80" s="56"/>
      <c r="H80" s="56"/>
      <c r="I80" s="54"/>
      <c r="J80" s="57"/>
      <c r="K80" s="59"/>
      <c r="L80" s="54"/>
      <c r="M80" s="54"/>
      <c r="N80" s="54"/>
      <c r="O80" s="55"/>
      <c r="P80" s="54"/>
      <c r="Q80" s="58"/>
      <c r="R80" s="54"/>
      <c r="S80" s="54"/>
      <c r="T80" s="59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6"/>
      <c r="AH80" s="56"/>
      <c r="AI80" s="54"/>
      <c r="AJ80" s="54"/>
      <c r="AK80" s="54"/>
      <c r="AL80" s="56"/>
      <c r="AM80" s="56"/>
      <c r="AN80" s="54"/>
      <c r="AO80" s="56"/>
      <c r="AP80" s="54"/>
      <c r="AQ80" s="56"/>
      <c r="AR80" s="54"/>
      <c r="AS80" s="54"/>
      <c r="AT80" s="54"/>
      <c r="AU80" s="59"/>
      <c r="AV80" s="54"/>
      <c r="AW80" s="54"/>
      <c r="AX80" s="59"/>
      <c r="AY80" s="59"/>
      <c r="AZ80" s="59"/>
      <c r="BA80" s="60">
        <f>IFERROR(VLOOKUP(B80,'02_DS_Nhan_Viec'!B:L,5,0),"")</f>
      </c>
      <c r="BB80" s="54"/>
      <c r="BC80" s="61">
        <f t="array" ref="BC80">IF($B80="","",IF(IFERROR(INDEX('02_DS_Nhan_Viec'!$J:$J,MATCH($B80,'02_DS_Nhan_Viec'!$B:$B,0)),"")="","Đang theo dõi",IF(OR(IFERROR(INDEX('05_Theo_Doi_Gio_Cong_7_Ngay'!$R:$R,MATCH(IFERROR(INDEX('02_DS_Nhan_Viec'!$J:$J,MATCH($B80,'02_DS_Nhan_Viec'!$B:$B,0)),""),'05_Theo_Doi_Gio_Cong_7_Ngay'!$B:$B,0)),"")="",IFERROR(INDEX('05_Theo_Doi_Gio_Cong_7_Ngay'!$R:$R,MATCH(IFERROR(INDEX('02_DS_Nhan_Viec'!$J:$J,MATCH($B80,'02_DS_Nhan_Viec'!$B:$B,0)),""),'05_Theo_Doi_Gio_Cong_7_Ngay'!$B:$B,0)),0)=0),"Đang theo dõi",IFERROR(INDEX('06_DS_Chinh_Thuc'!$K:$K,MATCH(IFERROR(INDEX('05_Theo_Doi_Gio_Cong_7_Ngay'!$R:$R,MATCH(IFERROR(INDEX('02_DS_Nhan_Viec'!$J:$J,MATCH($B80,'02_DS_Nhan_Viec'!$B:$B,0)),""),'05_Theo_Doi_Gio_Cong_7_Ngay'!$B:$B,0)),0),'06_DS_Chinh_Thuc'!$B:$B,0)),"Đang theo dõi"))))</f>
      </c>
    </row>
    <row r="81" ht="14.25" customHeight="1" spans="1:55" x14ac:dyDescent="0.25">
      <c r="A81" s="52">
        <f t="shared" si="0"/>
      </c>
      <c r="B81" s="52">
        <f t="shared" si="1"/>
      </c>
      <c r="C81" s="53"/>
      <c r="D81" s="54"/>
      <c r="E81" s="55"/>
      <c r="F81" s="56"/>
      <c r="G81" s="56"/>
      <c r="H81" s="56"/>
      <c r="I81" s="54"/>
      <c r="J81" s="57"/>
      <c r="K81" s="59"/>
      <c r="L81" s="54"/>
      <c r="M81" s="54"/>
      <c r="N81" s="54"/>
      <c r="O81" s="55"/>
      <c r="P81" s="54"/>
      <c r="Q81" s="58"/>
      <c r="R81" s="54"/>
      <c r="S81" s="54"/>
      <c r="T81" s="59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6"/>
      <c r="AH81" s="56"/>
      <c r="AI81" s="54"/>
      <c r="AJ81" s="54"/>
      <c r="AK81" s="54"/>
      <c r="AL81" s="56"/>
      <c r="AM81" s="56"/>
      <c r="AN81" s="54"/>
      <c r="AO81" s="56"/>
      <c r="AP81" s="54"/>
      <c r="AQ81" s="56"/>
      <c r="AR81" s="54"/>
      <c r="AS81" s="54"/>
      <c r="AT81" s="54"/>
      <c r="AU81" s="59"/>
      <c r="AV81" s="54"/>
      <c r="AW81" s="54"/>
      <c r="AX81" s="59"/>
      <c r="AY81" s="59"/>
      <c r="AZ81" s="59"/>
      <c r="BA81" s="60">
        <f>IFERROR(VLOOKUP(B81,'02_DS_Nhan_Viec'!B:L,5,0),"")</f>
      </c>
      <c r="BB81" s="54"/>
      <c r="BC81" s="61">
        <f t="array" ref="BC81">IF($B81="","",IF(IFERROR(INDEX('02_DS_Nhan_Viec'!$J:$J,MATCH($B81,'02_DS_Nhan_Viec'!$B:$B,0)),"")="","Đang theo dõi",IF(OR(IFERROR(INDEX('05_Theo_Doi_Gio_Cong_7_Ngay'!$R:$R,MATCH(IFERROR(INDEX('02_DS_Nhan_Viec'!$J:$J,MATCH($B81,'02_DS_Nhan_Viec'!$B:$B,0)),""),'05_Theo_Doi_Gio_Cong_7_Ngay'!$B:$B,0)),"")="",IFERROR(INDEX('05_Theo_Doi_Gio_Cong_7_Ngay'!$R:$R,MATCH(IFERROR(INDEX('02_DS_Nhan_Viec'!$J:$J,MATCH($B81,'02_DS_Nhan_Viec'!$B:$B,0)),""),'05_Theo_Doi_Gio_Cong_7_Ngay'!$B:$B,0)),0)=0),"Đang theo dõi",IFERROR(INDEX('06_DS_Chinh_Thuc'!$K:$K,MATCH(IFERROR(INDEX('05_Theo_Doi_Gio_Cong_7_Ngay'!$R:$R,MATCH(IFERROR(INDEX('02_DS_Nhan_Viec'!$J:$J,MATCH($B81,'02_DS_Nhan_Viec'!$B:$B,0)),""),'05_Theo_Doi_Gio_Cong_7_Ngay'!$B:$B,0)),0),'06_DS_Chinh_Thuc'!$B:$B,0)),"Đang theo dõi"))))</f>
      </c>
    </row>
    <row r="82" ht="14.25" customHeight="1" spans="1:55" x14ac:dyDescent="0.25">
      <c r="A82" s="52">
        <f t="shared" si="0"/>
      </c>
      <c r="B82" s="52">
        <f t="shared" si="1"/>
      </c>
      <c r="C82" s="53"/>
      <c r="D82" s="54"/>
      <c r="E82" s="55"/>
      <c r="F82" s="56"/>
      <c r="G82" s="56"/>
      <c r="H82" s="56"/>
      <c r="I82" s="54"/>
      <c r="J82" s="57"/>
      <c r="K82" s="59"/>
      <c r="L82" s="54"/>
      <c r="M82" s="54"/>
      <c r="N82" s="54"/>
      <c r="O82" s="55"/>
      <c r="P82" s="54"/>
      <c r="Q82" s="58"/>
      <c r="R82" s="54"/>
      <c r="S82" s="54"/>
      <c r="T82" s="59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6"/>
      <c r="AH82" s="56"/>
      <c r="AI82" s="54"/>
      <c r="AJ82" s="54"/>
      <c r="AK82" s="54"/>
      <c r="AL82" s="56"/>
      <c r="AM82" s="56"/>
      <c r="AN82" s="54"/>
      <c r="AO82" s="56"/>
      <c r="AP82" s="54"/>
      <c r="AQ82" s="56"/>
      <c r="AR82" s="54"/>
      <c r="AS82" s="54"/>
      <c r="AT82" s="54"/>
      <c r="AU82" s="59"/>
      <c r="AV82" s="54"/>
      <c r="AW82" s="54"/>
      <c r="AX82" s="59"/>
      <c r="AY82" s="59"/>
      <c r="AZ82" s="59"/>
      <c r="BA82" s="60">
        <f>IFERROR(VLOOKUP(B82,'02_DS_Nhan_Viec'!B:L,5,0),"")</f>
      </c>
      <c r="BB82" s="54"/>
      <c r="BC82" s="61">
        <f t="array" ref="BC82">IF($B82="","",IF(IFERROR(INDEX('02_DS_Nhan_Viec'!$J:$J,MATCH($B82,'02_DS_Nhan_Viec'!$B:$B,0)),"")="","Đang theo dõi",IF(OR(IFERROR(INDEX('05_Theo_Doi_Gio_Cong_7_Ngay'!$R:$R,MATCH(IFERROR(INDEX('02_DS_Nhan_Viec'!$J:$J,MATCH($B82,'02_DS_Nhan_Viec'!$B:$B,0)),""),'05_Theo_Doi_Gio_Cong_7_Ngay'!$B:$B,0)),"")="",IFERROR(INDEX('05_Theo_Doi_Gio_Cong_7_Ngay'!$R:$R,MATCH(IFERROR(INDEX('02_DS_Nhan_Viec'!$J:$J,MATCH($B82,'02_DS_Nhan_Viec'!$B:$B,0)),""),'05_Theo_Doi_Gio_Cong_7_Ngay'!$B:$B,0)),0)=0),"Đang theo dõi",IFERROR(INDEX('06_DS_Chinh_Thuc'!$K:$K,MATCH(IFERROR(INDEX('05_Theo_Doi_Gio_Cong_7_Ngay'!$R:$R,MATCH(IFERROR(INDEX('02_DS_Nhan_Viec'!$J:$J,MATCH($B82,'02_DS_Nhan_Viec'!$B:$B,0)),""),'05_Theo_Doi_Gio_Cong_7_Ngay'!$B:$B,0)),0),'06_DS_Chinh_Thuc'!$B:$B,0)),"Đang theo dõi"))))</f>
      </c>
    </row>
    <row r="83" ht="14.25" customHeight="1" spans="1:55" x14ac:dyDescent="0.25">
      <c r="A83" s="52">
        <f t="shared" si="0"/>
      </c>
      <c r="B83" s="52">
        <f t="shared" si="1"/>
      </c>
      <c r="C83" s="53"/>
      <c r="D83" s="54"/>
      <c r="E83" s="55"/>
      <c r="F83" s="56"/>
      <c r="G83" s="56"/>
      <c r="H83" s="56"/>
      <c r="I83" s="54"/>
      <c r="J83" s="57"/>
      <c r="K83" s="59"/>
      <c r="L83" s="54"/>
      <c r="M83" s="54"/>
      <c r="N83" s="54"/>
      <c r="O83" s="55"/>
      <c r="P83" s="54"/>
      <c r="Q83" s="58"/>
      <c r="R83" s="54"/>
      <c r="S83" s="54"/>
      <c r="T83" s="59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6"/>
      <c r="AH83" s="56"/>
      <c r="AI83" s="54"/>
      <c r="AJ83" s="54"/>
      <c r="AK83" s="54"/>
      <c r="AL83" s="56"/>
      <c r="AM83" s="56"/>
      <c r="AN83" s="54"/>
      <c r="AO83" s="56"/>
      <c r="AP83" s="54"/>
      <c r="AQ83" s="56"/>
      <c r="AR83" s="54"/>
      <c r="AS83" s="54"/>
      <c r="AT83" s="54"/>
      <c r="AU83" s="59"/>
      <c r="AV83" s="54"/>
      <c r="AW83" s="54"/>
      <c r="AX83" s="59"/>
      <c r="AY83" s="59"/>
      <c r="AZ83" s="59"/>
      <c r="BA83" s="60">
        <f>IFERROR(VLOOKUP(B83,'02_DS_Nhan_Viec'!B:L,5,0),"")</f>
      </c>
      <c r="BB83" s="54"/>
      <c r="BC83" s="61">
        <f t="array" ref="BC83">IF($B83="","",IF(IFERROR(INDEX('02_DS_Nhan_Viec'!$J:$J,MATCH($B83,'02_DS_Nhan_Viec'!$B:$B,0)),"")="","Đang theo dõi",IF(OR(IFERROR(INDEX('05_Theo_Doi_Gio_Cong_7_Ngay'!$R:$R,MATCH(IFERROR(INDEX('02_DS_Nhan_Viec'!$J:$J,MATCH($B83,'02_DS_Nhan_Viec'!$B:$B,0)),""),'05_Theo_Doi_Gio_Cong_7_Ngay'!$B:$B,0)),"")="",IFERROR(INDEX('05_Theo_Doi_Gio_Cong_7_Ngay'!$R:$R,MATCH(IFERROR(INDEX('02_DS_Nhan_Viec'!$J:$J,MATCH($B83,'02_DS_Nhan_Viec'!$B:$B,0)),""),'05_Theo_Doi_Gio_Cong_7_Ngay'!$B:$B,0)),0)=0),"Đang theo dõi",IFERROR(INDEX('06_DS_Chinh_Thuc'!$K:$K,MATCH(IFERROR(INDEX('05_Theo_Doi_Gio_Cong_7_Ngay'!$R:$R,MATCH(IFERROR(INDEX('02_DS_Nhan_Viec'!$J:$J,MATCH($B83,'02_DS_Nhan_Viec'!$B:$B,0)),""),'05_Theo_Doi_Gio_Cong_7_Ngay'!$B:$B,0)),0),'06_DS_Chinh_Thuc'!$B:$B,0)),"Đang theo dõi"))))</f>
      </c>
    </row>
    <row r="84" ht="14.25" customHeight="1" spans="1:55" x14ac:dyDescent="0.25">
      <c r="A84" s="52">
        <f t="shared" si="0"/>
      </c>
      <c r="B84" s="52">
        <f t="shared" si="1"/>
      </c>
      <c r="C84" s="53"/>
      <c r="D84" s="54"/>
      <c r="E84" s="55"/>
      <c r="F84" s="56"/>
      <c r="G84" s="56"/>
      <c r="H84" s="56"/>
      <c r="I84" s="54"/>
      <c r="J84" s="57"/>
      <c r="K84" s="59"/>
      <c r="L84" s="54"/>
      <c r="M84" s="54"/>
      <c r="N84" s="54"/>
      <c r="O84" s="55"/>
      <c r="P84" s="54"/>
      <c r="Q84" s="58"/>
      <c r="R84" s="54"/>
      <c r="S84" s="54"/>
      <c r="T84" s="59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6"/>
      <c r="AH84" s="56"/>
      <c r="AI84" s="54"/>
      <c r="AJ84" s="54"/>
      <c r="AK84" s="54"/>
      <c r="AL84" s="56"/>
      <c r="AM84" s="56"/>
      <c r="AN84" s="54"/>
      <c r="AO84" s="56"/>
      <c r="AP84" s="54"/>
      <c r="AQ84" s="56"/>
      <c r="AR84" s="54"/>
      <c r="AS84" s="54"/>
      <c r="AT84" s="54"/>
      <c r="AU84" s="59"/>
      <c r="AV84" s="54"/>
      <c r="AW84" s="54"/>
      <c r="AX84" s="59"/>
      <c r="AY84" s="59"/>
      <c r="AZ84" s="59"/>
      <c r="BA84" s="60">
        <f>IFERROR(VLOOKUP(B84,'02_DS_Nhan_Viec'!B:L,5,0),"")</f>
      </c>
      <c r="BB84" s="54"/>
      <c r="BC84" s="61">
        <f t="array" ref="BC84">IF($B84="","",IF(IFERROR(INDEX('02_DS_Nhan_Viec'!$J:$J,MATCH($B84,'02_DS_Nhan_Viec'!$B:$B,0)),"")="","Đang theo dõi",IF(OR(IFERROR(INDEX('05_Theo_Doi_Gio_Cong_7_Ngay'!$R:$R,MATCH(IFERROR(INDEX('02_DS_Nhan_Viec'!$J:$J,MATCH($B84,'02_DS_Nhan_Viec'!$B:$B,0)),""),'05_Theo_Doi_Gio_Cong_7_Ngay'!$B:$B,0)),"")="",IFERROR(INDEX('05_Theo_Doi_Gio_Cong_7_Ngay'!$R:$R,MATCH(IFERROR(INDEX('02_DS_Nhan_Viec'!$J:$J,MATCH($B84,'02_DS_Nhan_Viec'!$B:$B,0)),""),'05_Theo_Doi_Gio_Cong_7_Ngay'!$B:$B,0)),0)=0),"Đang theo dõi",IFERROR(INDEX('06_DS_Chinh_Thuc'!$K:$K,MATCH(IFERROR(INDEX('05_Theo_Doi_Gio_Cong_7_Ngay'!$R:$R,MATCH(IFERROR(INDEX('02_DS_Nhan_Viec'!$J:$J,MATCH($B84,'02_DS_Nhan_Viec'!$B:$B,0)),""),'05_Theo_Doi_Gio_Cong_7_Ngay'!$B:$B,0)),0),'06_DS_Chinh_Thuc'!$B:$B,0)),"Đang theo dõi"))))</f>
      </c>
    </row>
    <row r="85" ht="14.25" customHeight="1" spans="1:55" x14ac:dyDescent="0.25">
      <c r="A85" s="52">
        <f t="shared" si="0"/>
      </c>
      <c r="B85" s="52">
        <f t="shared" si="1"/>
      </c>
      <c r="C85" s="53"/>
      <c r="D85" s="54"/>
      <c r="E85" s="55"/>
      <c r="F85" s="56"/>
      <c r="G85" s="56"/>
      <c r="H85" s="56"/>
      <c r="I85" s="54"/>
      <c r="J85" s="57"/>
      <c r="K85" s="59"/>
      <c r="L85" s="54"/>
      <c r="M85" s="54"/>
      <c r="N85" s="54"/>
      <c r="O85" s="55"/>
      <c r="P85" s="54"/>
      <c r="Q85" s="58"/>
      <c r="R85" s="54"/>
      <c r="S85" s="54"/>
      <c r="T85" s="59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6"/>
      <c r="AH85" s="56"/>
      <c r="AI85" s="54"/>
      <c r="AJ85" s="54"/>
      <c r="AK85" s="54"/>
      <c r="AL85" s="56"/>
      <c r="AM85" s="56"/>
      <c r="AN85" s="54"/>
      <c r="AO85" s="56"/>
      <c r="AP85" s="54"/>
      <c r="AQ85" s="56"/>
      <c r="AR85" s="54"/>
      <c r="AS85" s="54"/>
      <c r="AT85" s="54"/>
      <c r="AU85" s="59"/>
      <c r="AV85" s="54"/>
      <c r="AW85" s="54"/>
      <c r="AX85" s="59"/>
      <c r="AY85" s="59"/>
      <c r="AZ85" s="59"/>
      <c r="BA85" s="60">
        <f>IFERROR(VLOOKUP(B85,'02_DS_Nhan_Viec'!B:L,5,0),"")</f>
      </c>
      <c r="BB85" s="54"/>
      <c r="BC85" s="61">
        <f t="array" ref="BC85">IF($B85="","",IF(IFERROR(INDEX('02_DS_Nhan_Viec'!$J:$J,MATCH($B85,'02_DS_Nhan_Viec'!$B:$B,0)),"")="","Đang theo dõi",IF(OR(IFERROR(INDEX('05_Theo_Doi_Gio_Cong_7_Ngay'!$R:$R,MATCH(IFERROR(INDEX('02_DS_Nhan_Viec'!$J:$J,MATCH($B85,'02_DS_Nhan_Viec'!$B:$B,0)),""),'05_Theo_Doi_Gio_Cong_7_Ngay'!$B:$B,0)),"")="",IFERROR(INDEX('05_Theo_Doi_Gio_Cong_7_Ngay'!$R:$R,MATCH(IFERROR(INDEX('02_DS_Nhan_Viec'!$J:$J,MATCH($B85,'02_DS_Nhan_Viec'!$B:$B,0)),""),'05_Theo_Doi_Gio_Cong_7_Ngay'!$B:$B,0)),0)=0),"Đang theo dõi",IFERROR(INDEX('06_DS_Chinh_Thuc'!$K:$K,MATCH(IFERROR(INDEX('05_Theo_Doi_Gio_Cong_7_Ngay'!$R:$R,MATCH(IFERROR(INDEX('02_DS_Nhan_Viec'!$J:$J,MATCH($B85,'02_DS_Nhan_Viec'!$B:$B,0)),""),'05_Theo_Doi_Gio_Cong_7_Ngay'!$B:$B,0)),0),'06_DS_Chinh_Thuc'!$B:$B,0)),"Đang theo dõi"))))</f>
      </c>
    </row>
    <row r="86" ht="14.25" customHeight="1" spans="1:55" x14ac:dyDescent="0.25">
      <c r="A86" s="52">
        <f t="shared" si="0"/>
      </c>
      <c r="B86" s="52">
        <f t="shared" si="1"/>
      </c>
      <c r="C86" s="53"/>
      <c r="D86" s="54"/>
      <c r="E86" s="55"/>
      <c r="F86" s="56"/>
      <c r="G86" s="56"/>
      <c r="H86" s="56"/>
      <c r="I86" s="54"/>
      <c r="J86" s="57"/>
      <c r="K86" s="59"/>
      <c r="L86" s="54"/>
      <c r="M86" s="54"/>
      <c r="N86" s="54"/>
      <c r="O86" s="55"/>
      <c r="P86" s="54"/>
      <c r="Q86" s="58"/>
      <c r="R86" s="54"/>
      <c r="S86" s="54"/>
      <c r="T86" s="59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6"/>
      <c r="AH86" s="56"/>
      <c r="AI86" s="54"/>
      <c r="AJ86" s="54"/>
      <c r="AK86" s="54"/>
      <c r="AL86" s="56"/>
      <c r="AM86" s="56"/>
      <c r="AN86" s="54"/>
      <c r="AO86" s="56"/>
      <c r="AP86" s="54"/>
      <c r="AQ86" s="56"/>
      <c r="AR86" s="54"/>
      <c r="AS86" s="54"/>
      <c r="AT86" s="54"/>
      <c r="AU86" s="59"/>
      <c r="AV86" s="54"/>
      <c r="AW86" s="54"/>
      <c r="AX86" s="59"/>
      <c r="AY86" s="59"/>
      <c r="AZ86" s="59"/>
      <c r="BA86" s="60">
        <f>IFERROR(VLOOKUP(B86,'02_DS_Nhan_Viec'!B:L,5,0),"")</f>
      </c>
      <c r="BB86" s="54"/>
      <c r="BC86" s="61">
        <f t="array" ref="BC86">IF($B86="","",IF(IFERROR(INDEX('02_DS_Nhan_Viec'!$J:$J,MATCH($B86,'02_DS_Nhan_Viec'!$B:$B,0)),"")="","Đang theo dõi",IF(OR(IFERROR(INDEX('05_Theo_Doi_Gio_Cong_7_Ngay'!$R:$R,MATCH(IFERROR(INDEX('02_DS_Nhan_Viec'!$J:$J,MATCH($B86,'02_DS_Nhan_Viec'!$B:$B,0)),""),'05_Theo_Doi_Gio_Cong_7_Ngay'!$B:$B,0)),"")="",IFERROR(INDEX('05_Theo_Doi_Gio_Cong_7_Ngay'!$R:$R,MATCH(IFERROR(INDEX('02_DS_Nhan_Viec'!$J:$J,MATCH($B86,'02_DS_Nhan_Viec'!$B:$B,0)),""),'05_Theo_Doi_Gio_Cong_7_Ngay'!$B:$B,0)),0)=0),"Đang theo dõi",IFERROR(INDEX('06_DS_Chinh_Thuc'!$K:$K,MATCH(IFERROR(INDEX('05_Theo_Doi_Gio_Cong_7_Ngay'!$R:$R,MATCH(IFERROR(INDEX('02_DS_Nhan_Viec'!$J:$J,MATCH($B86,'02_DS_Nhan_Viec'!$B:$B,0)),""),'05_Theo_Doi_Gio_Cong_7_Ngay'!$B:$B,0)),0),'06_DS_Chinh_Thuc'!$B:$B,0)),"Đang theo dõi"))))</f>
      </c>
    </row>
    <row r="87" ht="14.25" customHeight="1" spans="1:55" x14ac:dyDescent="0.25">
      <c r="A87" s="52">
        <f t="shared" si="0"/>
      </c>
      <c r="B87" s="52">
        <f t="shared" si="1"/>
      </c>
      <c r="C87" s="53"/>
      <c r="D87" s="54"/>
      <c r="E87" s="55"/>
      <c r="F87" s="56"/>
      <c r="G87" s="56"/>
      <c r="H87" s="56"/>
      <c r="I87" s="54"/>
      <c r="J87" s="57"/>
      <c r="K87" s="59"/>
      <c r="L87" s="54"/>
      <c r="M87" s="54"/>
      <c r="N87" s="54"/>
      <c r="O87" s="55"/>
      <c r="P87" s="54"/>
      <c r="Q87" s="58"/>
      <c r="R87" s="54"/>
      <c r="S87" s="54"/>
      <c r="T87" s="59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6"/>
      <c r="AH87" s="56"/>
      <c r="AI87" s="54"/>
      <c r="AJ87" s="54"/>
      <c r="AK87" s="54"/>
      <c r="AL87" s="56"/>
      <c r="AM87" s="56"/>
      <c r="AN87" s="54"/>
      <c r="AO87" s="56"/>
      <c r="AP87" s="54"/>
      <c r="AQ87" s="56"/>
      <c r="AR87" s="54"/>
      <c r="AS87" s="54"/>
      <c r="AT87" s="54"/>
      <c r="AU87" s="59"/>
      <c r="AV87" s="54"/>
      <c r="AW87" s="54"/>
      <c r="AX87" s="59"/>
      <c r="AY87" s="59"/>
      <c r="AZ87" s="59"/>
      <c r="BA87" s="60">
        <f>IFERROR(VLOOKUP(B87,'02_DS_Nhan_Viec'!B:L,5,0),"")</f>
      </c>
      <c r="BB87" s="54"/>
      <c r="BC87" s="61">
        <f t="array" ref="BC87">IF($B87="","",IF(IFERROR(INDEX('02_DS_Nhan_Viec'!$J:$J,MATCH($B87,'02_DS_Nhan_Viec'!$B:$B,0)),"")="","Đang theo dõi",IF(OR(IFERROR(INDEX('05_Theo_Doi_Gio_Cong_7_Ngay'!$R:$R,MATCH(IFERROR(INDEX('02_DS_Nhan_Viec'!$J:$J,MATCH($B87,'02_DS_Nhan_Viec'!$B:$B,0)),""),'05_Theo_Doi_Gio_Cong_7_Ngay'!$B:$B,0)),"")="",IFERROR(INDEX('05_Theo_Doi_Gio_Cong_7_Ngay'!$R:$R,MATCH(IFERROR(INDEX('02_DS_Nhan_Viec'!$J:$J,MATCH($B87,'02_DS_Nhan_Viec'!$B:$B,0)),""),'05_Theo_Doi_Gio_Cong_7_Ngay'!$B:$B,0)),0)=0),"Đang theo dõi",IFERROR(INDEX('06_DS_Chinh_Thuc'!$K:$K,MATCH(IFERROR(INDEX('05_Theo_Doi_Gio_Cong_7_Ngay'!$R:$R,MATCH(IFERROR(INDEX('02_DS_Nhan_Viec'!$J:$J,MATCH($B87,'02_DS_Nhan_Viec'!$B:$B,0)),""),'05_Theo_Doi_Gio_Cong_7_Ngay'!$B:$B,0)),0),'06_DS_Chinh_Thuc'!$B:$B,0)),"Đang theo dõi"))))</f>
      </c>
    </row>
    <row r="88" ht="14.25" customHeight="1" spans="1:55" x14ac:dyDescent="0.25">
      <c r="A88" s="52">
        <f t="shared" si="0"/>
      </c>
      <c r="B88" s="52">
        <f t="shared" si="1"/>
      </c>
      <c r="C88" s="53"/>
      <c r="D88" s="54"/>
      <c r="E88" s="55"/>
      <c r="F88" s="56"/>
      <c r="G88" s="56"/>
      <c r="H88" s="56"/>
      <c r="I88" s="54"/>
      <c r="J88" s="57"/>
      <c r="K88" s="59"/>
      <c r="L88" s="54"/>
      <c r="M88" s="54"/>
      <c r="N88" s="54"/>
      <c r="O88" s="55"/>
      <c r="P88" s="54"/>
      <c r="Q88" s="58"/>
      <c r="R88" s="54"/>
      <c r="S88" s="54"/>
      <c r="T88" s="59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6"/>
      <c r="AH88" s="56"/>
      <c r="AI88" s="54"/>
      <c r="AJ88" s="54"/>
      <c r="AK88" s="54"/>
      <c r="AL88" s="56"/>
      <c r="AM88" s="56"/>
      <c r="AN88" s="54"/>
      <c r="AO88" s="56"/>
      <c r="AP88" s="54"/>
      <c r="AQ88" s="56"/>
      <c r="AR88" s="54"/>
      <c r="AS88" s="54"/>
      <c r="AT88" s="54"/>
      <c r="AU88" s="59"/>
      <c r="AV88" s="54"/>
      <c r="AW88" s="54"/>
      <c r="AX88" s="59"/>
      <c r="AY88" s="59"/>
      <c r="AZ88" s="59"/>
      <c r="BA88" s="60">
        <f>IFERROR(VLOOKUP(B88,'02_DS_Nhan_Viec'!B:L,5,0),"")</f>
      </c>
      <c r="BB88" s="54"/>
      <c r="BC88" s="61">
        <f t="array" ref="BC88">IF($B88="","",IF(IFERROR(INDEX('02_DS_Nhan_Viec'!$J:$J,MATCH($B88,'02_DS_Nhan_Viec'!$B:$B,0)),"")="","Đang theo dõi",IF(OR(IFERROR(INDEX('05_Theo_Doi_Gio_Cong_7_Ngay'!$R:$R,MATCH(IFERROR(INDEX('02_DS_Nhan_Viec'!$J:$J,MATCH($B88,'02_DS_Nhan_Viec'!$B:$B,0)),""),'05_Theo_Doi_Gio_Cong_7_Ngay'!$B:$B,0)),"")="",IFERROR(INDEX('05_Theo_Doi_Gio_Cong_7_Ngay'!$R:$R,MATCH(IFERROR(INDEX('02_DS_Nhan_Viec'!$J:$J,MATCH($B88,'02_DS_Nhan_Viec'!$B:$B,0)),""),'05_Theo_Doi_Gio_Cong_7_Ngay'!$B:$B,0)),0)=0),"Đang theo dõi",IFERROR(INDEX('06_DS_Chinh_Thuc'!$K:$K,MATCH(IFERROR(INDEX('05_Theo_Doi_Gio_Cong_7_Ngay'!$R:$R,MATCH(IFERROR(INDEX('02_DS_Nhan_Viec'!$J:$J,MATCH($B88,'02_DS_Nhan_Viec'!$B:$B,0)),""),'05_Theo_Doi_Gio_Cong_7_Ngay'!$B:$B,0)),0),'06_DS_Chinh_Thuc'!$B:$B,0)),"Đang theo dõi"))))</f>
      </c>
    </row>
    <row r="89" ht="14.25" customHeight="1" spans="1:55" x14ac:dyDescent="0.25">
      <c r="A89" s="52">
        <f t="shared" si="0"/>
      </c>
      <c r="B89" s="52">
        <f t="shared" si="1"/>
      </c>
      <c r="C89" s="53"/>
      <c r="D89" s="54"/>
      <c r="E89" s="55"/>
      <c r="F89" s="56"/>
      <c r="G89" s="56"/>
      <c r="H89" s="56"/>
      <c r="I89" s="54"/>
      <c r="J89" s="57"/>
      <c r="K89" s="59"/>
      <c r="L89" s="54"/>
      <c r="M89" s="54"/>
      <c r="N89" s="54"/>
      <c r="O89" s="55"/>
      <c r="P89" s="54"/>
      <c r="Q89" s="58"/>
      <c r="R89" s="54"/>
      <c r="S89" s="54"/>
      <c r="T89" s="59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6"/>
      <c r="AH89" s="56"/>
      <c r="AI89" s="54"/>
      <c r="AJ89" s="54"/>
      <c r="AK89" s="54"/>
      <c r="AL89" s="56"/>
      <c r="AM89" s="56"/>
      <c r="AN89" s="54"/>
      <c r="AO89" s="56"/>
      <c r="AP89" s="54"/>
      <c r="AQ89" s="56"/>
      <c r="AR89" s="54"/>
      <c r="AS89" s="54"/>
      <c r="AT89" s="54"/>
      <c r="AU89" s="59"/>
      <c r="AV89" s="54"/>
      <c r="AW89" s="54"/>
      <c r="AX89" s="59"/>
      <c r="AY89" s="59"/>
      <c r="AZ89" s="59"/>
      <c r="BA89" s="60">
        <f>IFERROR(VLOOKUP(B89,'02_DS_Nhan_Viec'!B:L,5,0),"")</f>
      </c>
      <c r="BB89" s="54"/>
      <c r="BC89" s="61">
        <f t="array" ref="BC89">IF($B89="","",IF(IFERROR(INDEX('02_DS_Nhan_Viec'!$J:$J,MATCH($B89,'02_DS_Nhan_Viec'!$B:$B,0)),"")="","Đang theo dõi",IF(OR(IFERROR(INDEX('05_Theo_Doi_Gio_Cong_7_Ngay'!$R:$R,MATCH(IFERROR(INDEX('02_DS_Nhan_Viec'!$J:$J,MATCH($B89,'02_DS_Nhan_Viec'!$B:$B,0)),""),'05_Theo_Doi_Gio_Cong_7_Ngay'!$B:$B,0)),"")="",IFERROR(INDEX('05_Theo_Doi_Gio_Cong_7_Ngay'!$R:$R,MATCH(IFERROR(INDEX('02_DS_Nhan_Viec'!$J:$J,MATCH($B89,'02_DS_Nhan_Viec'!$B:$B,0)),""),'05_Theo_Doi_Gio_Cong_7_Ngay'!$B:$B,0)),0)=0),"Đang theo dõi",IFERROR(INDEX('06_DS_Chinh_Thuc'!$K:$K,MATCH(IFERROR(INDEX('05_Theo_Doi_Gio_Cong_7_Ngay'!$R:$R,MATCH(IFERROR(INDEX('02_DS_Nhan_Viec'!$J:$J,MATCH($B89,'02_DS_Nhan_Viec'!$B:$B,0)),""),'05_Theo_Doi_Gio_Cong_7_Ngay'!$B:$B,0)),0),'06_DS_Chinh_Thuc'!$B:$B,0)),"Đang theo dõi"))))</f>
      </c>
    </row>
    <row r="90" ht="14.25" customHeight="1" spans="1:55" x14ac:dyDescent="0.25">
      <c r="A90" s="52">
        <f t="shared" si="0"/>
      </c>
      <c r="B90" s="52">
        <f t="shared" si="1"/>
      </c>
      <c r="C90" s="53"/>
      <c r="D90" s="54"/>
      <c r="E90" s="55"/>
      <c r="F90" s="56"/>
      <c r="G90" s="56"/>
      <c r="H90" s="56"/>
      <c r="I90" s="54"/>
      <c r="J90" s="57"/>
      <c r="K90" s="59"/>
      <c r="L90" s="54"/>
      <c r="M90" s="54"/>
      <c r="N90" s="54"/>
      <c r="O90" s="55"/>
      <c r="P90" s="54"/>
      <c r="Q90" s="58"/>
      <c r="R90" s="54"/>
      <c r="S90" s="54"/>
      <c r="T90" s="59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6"/>
      <c r="AH90" s="56"/>
      <c r="AI90" s="54"/>
      <c r="AJ90" s="54"/>
      <c r="AK90" s="54"/>
      <c r="AL90" s="56"/>
      <c r="AM90" s="56"/>
      <c r="AN90" s="54"/>
      <c r="AO90" s="56"/>
      <c r="AP90" s="54"/>
      <c r="AQ90" s="56"/>
      <c r="AR90" s="54"/>
      <c r="AS90" s="54"/>
      <c r="AT90" s="54"/>
      <c r="AU90" s="59"/>
      <c r="AV90" s="54"/>
      <c r="AW90" s="54"/>
      <c r="AX90" s="59"/>
      <c r="AY90" s="59"/>
      <c r="AZ90" s="59"/>
      <c r="BA90" s="60">
        <f>IFERROR(VLOOKUP(B90,'02_DS_Nhan_Viec'!B:L,5,0),"")</f>
      </c>
      <c r="BB90" s="54"/>
      <c r="BC90" s="61">
        <f t="array" ref="BC90">IF($B90="","",IF(IFERROR(INDEX('02_DS_Nhan_Viec'!$J:$J,MATCH($B90,'02_DS_Nhan_Viec'!$B:$B,0)),"")="","Đang theo dõi",IF(OR(IFERROR(INDEX('05_Theo_Doi_Gio_Cong_7_Ngay'!$R:$R,MATCH(IFERROR(INDEX('02_DS_Nhan_Viec'!$J:$J,MATCH($B90,'02_DS_Nhan_Viec'!$B:$B,0)),""),'05_Theo_Doi_Gio_Cong_7_Ngay'!$B:$B,0)),"")="",IFERROR(INDEX('05_Theo_Doi_Gio_Cong_7_Ngay'!$R:$R,MATCH(IFERROR(INDEX('02_DS_Nhan_Viec'!$J:$J,MATCH($B90,'02_DS_Nhan_Viec'!$B:$B,0)),""),'05_Theo_Doi_Gio_Cong_7_Ngay'!$B:$B,0)),0)=0),"Đang theo dõi",IFERROR(INDEX('06_DS_Chinh_Thuc'!$K:$K,MATCH(IFERROR(INDEX('05_Theo_Doi_Gio_Cong_7_Ngay'!$R:$R,MATCH(IFERROR(INDEX('02_DS_Nhan_Viec'!$J:$J,MATCH($B90,'02_DS_Nhan_Viec'!$B:$B,0)),""),'05_Theo_Doi_Gio_Cong_7_Ngay'!$B:$B,0)),0),'06_DS_Chinh_Thuc'!$B:$B,0)),"Đang theo dõi"))))</f>
      </c>
    </row>
    <row r="91" ht="14.25" customHeight="1" spans="1:55" x14ac:dyDescent="0.25">
      <c r="A91" s="52">
        <f t="shared" si="0"/>
      </c>
      <c r="B91" s="52">
        <f t="shared" si="1"/>
      </c>
      <c r="C91" s="53"/>
      <c r="D91" s="54"/>
      <c r="E91" s="55"/>
      <c r="F91" s="56"/>
      <c r="G91" s="56"/>
      <c r="H91" s="56"/>
      <c r="I91" s="54"/>
      <c r="J91" s="57"/>
      <c r="K91" s="59"/>
      <c r="L91" s="54"/>
      <c r="M91" s="54"/>
      <c r="N91" s="54"/>
      <c r="O91" s="55"/>
      <c r="P91" s="54"/>
      <c r="Q91" s="58"/>
      <c r="R91" s="54"/>
      <c r="S91" s="54"/>
      <c r="T91" s="59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6"/>
      <c r="AH91" s="56"/>
      <c r="AI91" s="54"/>
      <c r="AJ91" s="54"/>
      <c r="AK91" s="54"/>
      <c r="AL91" s="56"/>
      <c r="AM91" s="56"/>
      <c r="AN91" s="54"/>
      <c r="AO91" s="56"/>
      <c r="AP91" s="54"/>
      <c r="AQ91" s="56"/>
      <c r="AR91" s="54"/>
      <c r="AS91" s="54"/>
      <c r="AT91" s="54"/>
      <c r="AU91" s="59"/>
      <c r="AV91" s="54"/>
      <c r="AW91" s="54"/>
      <c r="AX91" s="59"/>
      <c r="AY91" s="59"/>
      <c r="AZ91" s="59"/>
      <c r="BA91" s="60">
        <f>IFERROR(VLOOKUP(B91,'02_DS_Nhan_Viec'!B:L,5,0),"")</f>
      </c>
      <c r="BB91" s="54"/>
      <c r="BC91" s="61">
        <f t="array" ref="BC91">IF($B91="","",IF(IFERROR(INDEX('02_DS_Nhan_Viec'!$J:$J,MATCH($B91,'02_DS_Nhan_Viec'!$B:$B,0)),"")="","Đang theo dõi",IF(OR(IFERROR(INDEX('05_Theo_Doi_Gio_Cong_7_Ngay'!$R:$R,MATCH(IFERROR(INDEX('02_DS_Nhan_Viec'!$J:$J,MATCH($B91,'02_DS_Nhan_Viec'!$B:$B,0)),""),'05_Theo_Doi_Gio_Cong_7_Ngay'!$B:$B,0)),"")="",IFERROR(INDEX('05_Theo_Doi_Gio_Cong_7_Ngay'!$R:$R,MATCH(IFERROR(INDEX('02_DS_Nhan_Viec'!$J:$J,MATCH($B91,'02_DS_Nhan_Viec'!$B:$B,0)),""),'05_Theo_Doi_Gio_Cong_7_Ngay'!$B:$B,0)),0)=0),"Đang theo dõi",IFERROR(INDEX('06_DS_Chinh_Thuc'!$K:$K,MATCH(IFERROR(INDEX('05_Theo_Doi_Gio_Cong_7_Ngay'!$R:$R,MATCH(IFERROR(INDEX('02_DS_Nhan_Viec'!$J:$J,MATCH($B91,'02_DS_Nhan_Viec'!$B:$B,0)),""),'05_Theo_Doi_Gio_Cong_7_Ngay'!$B:$B,0)),0),'06_DS_Chinh_Thuc'!$B:$B,0)),"Đang theo dõi"))))</f>
      </c>
    </row>
    <row r="92" ht="14.25" customHeight="1" spans="1:55" x14ac:dyDescent="0.25">
      <c r="A92" s="52">
        <f t="shared" si="0"/>
      </c>
      <c r="B92" s="52">
        <f t="shared" si="1"/>
      </c>
      <c r="C92" s="53"/>
      <c r="D92" s="54"/>
      <c r="E92" s="55"/>
      <c r="F92" s="56"/>
      <c r="G92" s="56"/>
      <c r="H92" s="56"/>
      <c r="I92" s="54"/>
      <c r="J92" s="57"/>
      <c r="K92" s="59"/>
      <c r="L92" s="54"/>
      <c r="M92" s="54"/>
      <c r="N92" s="54"/>
      <c r="O92" s="55"/>
      <c r="P92" s="54"/>
      <c r="Q92" s="58"/>
      <c r="R92" s="54"/>
      <c r="S92" s="54"/>
      <c r="T92" s="59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6"/>
      <c r="AH92" s="56"/>
      <c r="AI92" s="54"/>
      <c r="AJ92" s="54"/>
      <c r="AK92" s="54"/>
      <c r="AL92" s="56"/>
      <c r="AM92" s="56"/>
      <c r="AN92" s="54"/>
      <c r="AO92" s="56"/>
      <c r="AP92" s="54"/>
      <c r="AQ92" s="56"/>
      <c r="AR92" s="54"/>
      <c r="AS92" s="54"/>
      <c r="AT92" s="54"/>
      <c r="AU92" s="59"/>
      <c r="AV92" s="54"/>
      <c r="AW92" s="54"/>
      <c r="AX92" s="59"/>
      <c r="AY92" s="59"/>
      <c r="AZ92" s="59"/>
      <c r="BA92" s="60">
        <f>IFERROR(VLOOKUP(B92,'02_DS_Nhan_Viec'!B:L,5,0),"")</f>
      </c>
      <c r="BB92" s="54"/>
      <c r="BC92" s="61">
        <f t="array" ref="BC92">IF($B92="","",IF(IFERROR(INDEX('02_DS_Nhan_Viec'!$J:$J,MATCH($B92,'02_DS_Nhan_Viec'!$B:$B,0)),"")="","Đang theo dõi",IF(OR(IFERROR(INDEX('05_Theo_Doi_Gio_Cong_7_Ngay'!$R:$R,MATCH(IFERROR(INDEX('02_DS_Nhan_Viec'!$J:$J,MATCH($B92,'02_DS_Nhan_Viec'!$B:$B,0)),""),'05_Theo_Doi_Gio_Cong_7_Ngay'!$B:$B,0)),"")="",IFERROR(INDEX('05_Theo_Doi_Gio_Cong_7_Ngay'!$R:$R,MATCH(IFERROR(INDEX('02_DS_Nhan_Viec'!$J:$J,MATCH($B92,'02_DS_Nhan_Viec'!$B:$B,0)),""),'05_Theo_Doi_Gio_Cong_7_Ngay'!$B:$B,0)),0)=0),"Đang theo dõi",IFERROR(INDEX('06_DS_Chinh_Thuc'!$K:$K,MATCH(IFERROR(INDEX('05_Theo_Doi_Gio_Cong_7_Ngay'!$R:$R,MATCH(IFERROR(INDEX('02_DS_Nhan_Viec'!$J:$J,MATCH($B92,'02_DS_Nhan_Viec'!$B:$B,0)),""),'05_Theo_Doi_Gio_Cong_7_Ngay'!$B:$B,0)),0),'06_DS_Chinh_Thuc'!$B:$B,0)),"Đang theo dõi"))))</f>
      </c>
    </row>
    <row r="93" ht="14.25" customHeight="1" spans="1:55" x14ac:dyDescent="0.25">
      <c r="A93" s="52">
        <f t="shared" si="0"/>
      </c>
      <c r="B93" s="52">
        <f t="shared" si="1"/>
      </c>
      <c r="C93" s="53"/>
      <c r="D93" s="54"/>
      <c r="E93" s="55"/>
      <c r="F93" s="56"/>
      <c r="G93" s="56"/>
      <c r="H93" s="56"/>
      <c r="I93" s="54"/>
      <c r="J93" s="57"/>
      <c r="K93" s="59"/>
      <c r="L93" s="54"/>
      <c r="M93" s="54"/>
      <c r="N93" s="54"/>
      <c r="O93" s="55"/>
      <c r="P93" s="54"/>
      <c r="Q93" s="58"/>
      <c r="R93" s="54"/>
      <c r="S93" s="54"/>
      <c r="T93" s="59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6"/>
      <c r="AH93" s="56"/>
      <c r="AI93" s="54"/>
      <c r="AJ93" s="54"/>
      <c r="AK93" s="54"/>
      <c r="AL93" s="56"/>
      <c r="AM93" s="56"/>
      <c r="AN93" s="54"/>
      <c r="AO93" s="56"/>
      <c r="AP93" s="54"/>
      <c r="AQ93" s="56"/>
      <c r="AR93" s="54"/>
      <c r="AS93" s="54"/>
      <c r="AT93" s="54"/>
      <c r="AU93" s="59"/>
      <c r="AV93" s="54"/>
      <c r="AW93" s="54"/>
      <c r="AX93" s="59"/>
      <c r="AY93" s="59"/>
      <c r="AZ93" s="59"/>
      <c r="BA93" s="60">
        <f>IFERROR(VLOOKUP(B93,'02_DS_Nhan_Viec'!B:L,5,0),"")</f>
      </c>
      <c r="BB93" s="54"/>
      <c r="BC93" s="61">
        <f t="array" ref="BC93">IF($B93="","",IF(IFERROR(INDEX('02_DS_Nhan_Viec'!$J:$J,MATCH($B93,'02_DS_Nhan_Viec'!$B:$B,0)),"")="","Đang theo dõi",IF(OR(IFERROR(INDEX('05_Theo_Doi_Gio_Cong_7_Ngay'!$R:$R,MATCH(IFERROR(INDEX('02_DS_Nhan_Viec'!$J:$J,MATCH($B93,'02_DS_Nhan_Viec'!$B:$B,0)),""),'05_Theo_Doi_Gio_Cong_7_Ngay'!$B:$B,0)),"")="",IFERROR(INDEX('05_Theo_Doi_Gio_Cong_7_Ngay'!$R:$R,MATCH(IFERROR(INDEX('02_DS_Nhan_Viec'!$J:$J,MATCH($B93,'02_DS_Nhan_Viec'!$B:$B,0)),""),'05_Theo_Doi_Gio_Cong_7_Ngay'!$B:$B,0)),0)=0),"Đang theo dõi",IFERROR(INDEX('06_DS_Chinh_Thuc'!$K:$K,MATCH(IFERROR(INDEX('05_Theo_Doi_Gio_Cong_7_Ngay'!$R:$R,MATCH(IFERROR(INDEX('02_DS_Nhan_Viec'!$J:$J,MATCH($B93,'02_DS_Nhan_Viec'!$B:$B,0)),""),'05_Theo_Doi_Gio_Cong_7_Ngay'!$B:$B,0)),0),'06_DS_Chinh_Thuc'!$B:$B,0)),"Đang theo dõi"))))</f>
      </c>
    </row>
    <row r="94" ht="14.25" customHeight="1" spans="1:55" x14ac:dyDescent="0.25">
      <c r="A94" s="52">
        <f t="shared" si="0"/>
      </c>
      <c r="B94" s="52">
        <f t="shared" si="1"/>
      </c>
      <c r="C94" s="53"/>
      <c r="D94" s="54"/>
      <c r="E94" s="55"/>
      <c r="F94" s="56"/>
      <c r="G94" s="56"/>
      <c r="H94" s="56"/>
      <c r="I94" s="54"/>
      <c r="J94" s="57"/>
      <c r="K94" s="59"/>
      <c r="L94" s="54"/>
      <c r="M94" s="54"/>
      <c r="N94" s="54"/>
      <c r="O94" s="55"/>
      <c r="P94" s="54"/>
      <c r="Q94" s="58"/>
      <c r="R94" s="54"/>
      <c r="S94" s="54"/>
      <c r="T94" s="59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6"/>
      <c r="AH94" s="56"/>
      <c r="AI94" s="54"/>
      <c r="AJ94" s="54"/>
      <c r="AK94" s="54"/>
      <c r="AL94" s="56"/>
      <c r="AM94" s="56"/>
      <c r="AN94" s="54"/>
      <c r="AO94" s="56"/>
      <c r="AP94" s="54"/>
      <c r="AQ94" s="56"/>
      <c r="AR94" s="54"/>
      <c r="AS94" s="54"/>
      <c r="AT94" s="54"/>
      <c r="AU94" s="59"/>
      <c r="AV94" s="54"/>
      <c r="AW94" s="54"/>
      <c r="AX94" s="59"/>
      <c r="AY94" s="59"/>
      <c r="AZ94" s="59"/>
      <c r="BA94" s="60">
        <f>IFERROR(VLOOKUP(B94,'02_DS_Nhan_Viec'!B:L,5,0),"")</f>
      </c>
      <c r="BB94" s="54"/>
      <c r="BC94" s="61">
        <f t="array" ref="BC94">IF($B94="","",IF(IFERROR(INDEX('02_DS_Nhan_Viec'!$J:$J,MATCH($B94,'02_DS_Nhan_Viec'!$B:$B,0)),"")="","Đang theo dõi",IF(OR(IFERROR(INDEX('05_Theo_Doi_Gio_Cong_7_Ngay'!$R:$R,MATCH(IFERROR(INDEX('02_DS_Nhan_Viec'!$J:$J,MATCH($B94,'02_DS_Nhan_Viec'!$B:$B,0)),""),'05_Theo_Doi_Gio_Cong_7_Ngay'!$B:$B,0)),"")="",IFERROR(INDEX('05_Theo_Doi_Gio_Cong_7_Ngay'!$R:$R,MATCH(IFERROR(INDEX('02_DS_Nhan_Viec'!$J:$J,MATCH($B94,'02_DS_Nhan_Viec'!$B:$B,0)),""),'05_Theo_Doi_Gio_Cong_7_Ngay'!$B:$B,0)),0)=0),"Đang theo dõi",IFERROR(INDEX('06_DS_Chinh_Thuc'!$K:$K,MATCH(IFERROR(INDEX('05_Theo_Doi_Gio_Cong_7_Ngay'!$R:$R,MATCH(IFERROR(INDEX('02_DS_Nhan_Viec'!$J:$J,MATCH($B94,'02_DS_Nhan_Viec'!$B:$B,0)),""),'05_Theo_Doi_Gio_Cong_7_Ngay'!$B:$B,0)),0),'06_DS_Chinh_Thuc'!$B:$B,0)),"Đang theo dõi"))))</f>
      </c>
    </row>
    <row r="95" ht="14.25" customHeight="1" spans="1:55" x14ac:dyDescent="0.25">
      <c r="A95" s="52">
        <f t="shared" si="0"/>
      </c>
      <c r="B95" s="52">
        <f t="shared" si="1"/>
      </c>
      <c r="C95" s="53"/>
      <c r="D95" s="54"/>
      <c r="E95" s="55"/>
      <c r="F95" s="56"/>
      <c r="G95" s="56"/>
      <c r="H95" s="56"/>
      <c r="I95" s="54"/>
      <c r="J95" s="57"/>
      <c r="K95" s="59"/>
      <c r="L95" s="54"/>
      <c r="M95" s="54"/>
      <c r="N95" s="54"/>
      <c r="O95" s="55"/>
      <c r="P95" s="54"/>
      <c r="Q95" s="58"/>
      <c r="R95" s="54"/>
      <c r="S95" s="54"/>
      <c r="T95" s="59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6"/>
      <c r="AH95" s="56"/>
      <c r="AI95" s="54"/>
      <c r="AJ95" s="54"/>
      <c r="AK95" s="54"/>
      <c r="AL95" s="56"/>
      <c r="AM95" s="56"/>
      <c r="AN95" s="54"/>
      <c r="AO95" s="56"/>
      <c r="AP95" s="54"/>
      <c r="AQ95" s="56"/>
      <c r="AR95" s="54"/>
      <c r="AS95" s="54"/>
      <c r="AT95" s="54"/>
      <c r="AU95" s="59"/>
      <c r="AV95" s="54"/>
      <c r="AW95" s="54"/>
      <c r="AX95" s="59"/>
      <c r="AY95" s="59"/>
      <c r="AZ95" s="59"/>
      <c r="BA95" s="60">
        <f>IFERROR(VLOOKUP(B95,'02_DS_Nhan_Viec'!B:L,5,0),"")</f>
      </c>
      <c r="BB95" s="54"/>
      <c r="BC95" s="61">
        <f t="array" ref="BC95">IF($B95="","",IF(IFERROR(INDEX('02_DS_Nhan_Viec'!$J:$J,MATCH($B95,'02_DS_Nhan_Viec'!$B:$B,0)),"")="","Đang theo dõi",IF(OR(IFERROR(INDEX('05_Theo_Doi_Gio_Cong_7_Ngay'!$R:$R,MATCH(IFERROR(INDEX('02_DS_Nhan_Viec'!$J:$J,MATCH($B95,'02_DS_Nhan_Viec'!$B:$B,0)),""),'05_Theo_Doi_Gio_Cong_7_Ngay'!$B:$B,0)),"")="",IFERROR(INDEX('05_Theo_Doi_Gio_Cong_7_Ngay'!$R:$R,MATCH(IFERROR(INDEX('02_DS_Nhan_Viec'!$J:$J,MATCH($B95,'02_DS_Nhan_Viec'!$B:$B,0)),""),'05_Theo_Doi_Gio_Cong_7_Ngay'!$B:$B,0)),0)=0),"Đang theo dõi",IFERROR(INDEX('06_DS_Chinh_Thuc'!$K:$K,MATCH(IFERROR(INDEX('05_Theo_Doi_Gio_Cong_7_Ngay'!$R:$R,MATCH(IFERROR(INDEX('02_DS_Nhan_Viec'!$J:$J,MATCH($B95,'02_DS_Nhan_Viec'!$B:$B,0)),""),'05_Theo_Doi_Gio_Cong_7_Ngay'!$B:$B,0)),0),'06_DS_Chinh_Thuc'!$B:$B,0)),"Đang theo dõi"))))</f>
      </c>
    </row>
    <row r="96" ht="14.25" customHeight="1" spans="1:55" x14ac:dyDescent="0.25">
      <c r="A96" s="52">
        <f t="shared" si="0"/>
      </c>
      <c r="B96" s="52">
        <f t="shared" si="1"/>
      </c>
      <c r="C96" s="53"/>
      <c r="D96" s="54"/>
      <c r="E96" s="55"/>
      <c r="F96" s="56"/>
      <c r="G96" s="56"/>
      <c r="H96" s="56"/>
      <c r="I96" s="54"/>
      <c r="J96" s="57"/>
      <c r="K96" s="59"/>
      <c r="L96" s="54"/>
      <c r="M96" s="54"/>
      <c r="N96" s="54"/>
      <c r="O96" s="55"/>
      <c r="P96" s="54"/>
      <c r="Q96" s="58"/>
      <c r="R96" s="54"/>
      <c r="S96" s="54"/>
      <c r="T96" s="59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6"/>
      <c r="AH96" s="56"/>
      <c r="AI96" s="54"/>
      <c r="AJ96" s="54"/>
      <c r="AK96" s="54"/>
      <c r="AL96" s="56"/>
      <c r="AM96" s="56"/>
      <c r="AN96" s="54"/>
      <c r="AO96" s="56"/>
      <c r="AP96" s="54"/>
      <c r="AQ96" s="56"/>
      <c r="AR96" s="54"/>
      <c r="AS96" s="54"/>
      <c r="AT96" s="54"/>
      <c r="AU96" s="59"/>
      <c r="AV96" s="54"/>
      <c r="AW96" s="54"/>
      <c r="AX96" s="59"/>
      <c r="AY96" s="59"/>
      <c r="AZ96" s="59"/>
      <c r="BA96" s="60">
        <f>IFERROR(VLOOKUP(B96,'02_DS_Nhan_Viec'!B:L,5,0),"")</f>
      </c>
      <c r="BB96" s="54"/>
      <c r="BC96" s="61">
        <f t="array" ref="BC96">IF($B96="","",IF(IFERROR(INDEX('02_DS_Nhan_Viec'!$J:$J,MATCH($B96,'02_DS_Nhan_Viec'!$B:$B,0)),"")="","Đang theo dõi",IF(OR(IFERROR(INDEX('05_Theo_Doi_Gio_Cong_7_Ngay'!$R:$R,MATCH(IFERROR(INDEX('02_DS_Nhan_Viec'!$J:$J,MATCH($B96,'02_DS_Nhan_Viec'!$B:$B,0)),""),'05_Theo_Doi_Gio_Cong_7_Ngay'!$B:$B,0)),"")="",IFERROR(INDEX('05_Theo_Doi_Gio_Cong_7_Ngay'!$R:$R,MATCH(IFERROR(INDEX('02_DS_Nhan_Viec'!$J:$J,MATCH($B96,'02_DS_Nhan_Viec'!$B:$B,0)),""),'05_Theo_Doi_Gio_Cong_7_Ngay'!$B:$B,0)),0)=0),"Đang theo dõi",IFERROR(INDEX('06_DS_Chinh_Thuc'!$K:$K,MATCH(IFERROR(INDEX('05_Theo_Doi_Gio_Cong_7_Ngay'!$R:$R,MATCH(IFERROR(INDEX('02_DS_Nhan_Viec'!$J:$J,MATCH($B96,'02_DS_Nhan_Viec'!$B:$B,0)),""),'05_Theo_Doi_Gio_Cong_7_Ngay'!$B:$B,0)),0),'06_DS_Chinh_Thuc'!$B:$B,0)),"Đang theo dõi"))))</f>
      </c>
    </row>
    <row r="97" ht="14.25" customHeight="1" spans="1:55" x14ac:dyDescent="0.25">
      <c r="A97" s="52">
        <f t="shared" si="0"/>
      </c>
      <c r="B97" s="52">
        <f t="shared" si="1"/>
      </c>
      <c r="C97" s="53"/>
      <c r="D97" s="54"/>
      <c r="E97" s="55"/>
      <c r="F97" s="56"/>
      <c r="G97" s="56"/>
      <c r="H97" s="56"/>
      <c r="I97" s="54"/>
      <c r="J97" s="57"/>
      <c r="K97" s="59"/>
      <c r="L97" s="54"/>
      <c r="M97" s="54"/>
      <c r="N97" s="54"/>
      <c r="O97" s="55"/>
      <c r="P97" s="54"/>
      <c r="Q97" s="58"/>
      <c r="R97" s="54"/>
      <c r="S97" s="54"/>
      <c r="T97" s="59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6"/>
      <c r="AH97" s="56"/>
      <c r="AI97" s="54"/>
      <c r="AJ97" s="54"/>
      <c r="AK97" s="54"/>
      <c r="AL97" s="56"/>
      <c r="AM97" s="56"/>
      <c r="AN97" s="54"/>
      <c r="AO97" s="56"/>
      <c r="AP97" s="54"/>
      <c r="AQ97" s="56"/>
      <c r="AR97" s="54"/>
      <c r="AS97" s="54"/>
      <c r="AT97" s="54"/>
      <c r="AU97" s="59"/>
      <c r="AV97" s="54"/>
      <c r="AW97" s="54"/>
      <c r="AX97" s="59"/>
      <c r="AY97" s="59"/>
      <c r="AZ97" s="59"/>
      <c r="BA97" s="60">
        <f>IFERROR(VLOOKUP(B97,'02_DS_Nhan_Viec'!B:L,5,0),"")</f>
      </c>
      <c r="BB97" s="54"/>
      <c r="BC97" s="61">
        <f t="array" ref="BC97">IF($B97="","",IF(IFERROR(INDEX('02_DS_Nhan_Viec'!$J:$J,MATCH($B97,'02_DS_Nhan_Viec'!$B:$B,0)),"")="","Đang theo dõi",IF(OR(IFERROR(INDEX('05_Theo_Doi_Gio_Cong_7_Ngay'!$R:$R,MATCH(IFERROR(INDEX('02_DS_Nhan_Viec'!$J:$J,MATCH($B97,'02_DS_Nhan_Viec'!$B:$B,0)),""),'05_Theo_Doi_Gio_Cong_7_Ngay'!$B:$B,0)),"")="",IFERROR(INDEX('05_Theo_Doi_Gio_Cong_7_Ngay'!$R:$R,MATCH(IFERROR(INDEX('02_DS_Nhan_Viec'!$J:$J,MATCH($B97,'02_DS_Nhan_Viec'!$B:$B,0)),""),'05_Theo_Doi_Gio_Cong_7_Ngay'!$B:$B,0)),0)=0),"Đang theo dõi",IFERROR(INDEX('06_DS_Chinh_Thuc'!$K:$K,MATCH(IFERROR(INDEX('05_Theo_Doi_Gio_Cong_7_Ngay'!$R:$R,MATCH(IFERROR(INDEX('02_DS_Nhan_Viec'!$J:$J,MATCH($B97,'02_DS_Nhan_Viec'!$B:$B,0)),""),'05_Theo_Doi_Gio_Cong_7_Ngay'!$B:$B,0)),0),'06_DS_Chinh_Thuc'!$B:$B,0)),"Đang theo dõi"))))</f>
      </c>
    </row>
    <row r="98" ht="14.25" customHeight="1" spans="1:55" x14ac:dyDescent="0.25">
      <c r="A98" s="52">
        <f t="shared" si="0"/>
      </c>
      <c r="B98" s="52">
        <f t="shared" si="1"/>
      </c>
      <c r="C98" s="53"/>
      <c r="D98" s="54"/>
      <c r="E98" s="55"/>
      <c r="F98" s="56"/>
      <c r="G98" s="56"/>
      <c r="H98" s="56"/>
      <c r="I98" s="54"/>
      <c r="J98" s="57"/>
      <c r="K98" s="59"/>
      <c r="L98" s="54"/>
      <c r="M98" s="54"/>
      <c r="N98" s="54"/>
      <c r="O98" s="55"/>
      <c r="P98" s="54"/>
      <c r="Q98" s="58"/>
      <c r="R98" s="54"/>
      <c r="S98" s="54"/>
      <c r="T98" s="59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6"/>
      <c r="AH98" s="56"/>
      <c r="AI98" s="54"/>
      <c r="AJ98" s="54"/>
      <c r="AK98" s="54"/>
      <c r="AL98" s="56"/>
      <c r="AM98" s="56"/>
      <c r="AN98" s="54"/>
      <c r="AO98" s="56"/>
      <c r="AP98" s="54"/>
      <c r="AQ98" s="56"/>
      <c r="AR98" s="54"/>
      <c r="AS98" s="54"/>
      <c r="AT98" s="54"/>
      <c r="AU98" s="59"/>
      <c r="AV98" s="54"/>
      <c r="AW98" s="54"/>
      <c r="AX98" s="59"/>
      <c r="AY98" s="59"/>
      <c r="AZ98" s="59"/>
      <c r="BA98" s="60">
        <f>IFERROR(VLOOKUP(B98,'02_DS_Nhan_Viec'!B:L,5,0),"")</f>
      </c>
      <c r="BB98" s="54"/>
      <c r="BC98" s="61">
        <f t="array" ref="BC98">IF($B98="","",IF(IFERROR(INDEX('02_DS_Nhan_Viec'!$J:$J,MATCH($B98,'02_DS_Nhan_Viec'!$B:$B,0)),"")="","Đang theo dõi",IF(OR(IFERROR(INDEX('05_Theo_Doi_Gio_Cong_7_Ngay'!$R:$R,MATCH(IFERROR(INDEX('02_DS_Nhan_Viec'!$J:$J,MATCH($B98,'02_DS_Nhan_Viec'!$B:$B,0)),""),'05_Theo_Doi_Gio_Cong_7_Ngay'!$B:$B,0)),"")="",IFERROR(INDEX('05_Theo_Doi_Gio_Cong_7_Ngay'!$R:$R,MATCH(IFERROR(INDEX('02_DS_Nhan_Viec'!$J:$J,MATCH($B98,'02_DS_Nhan_Viec'!$B:$B,0)),""),'05_Theo_Doi_Gio_Cong_7_Ngay'!$B:$B,0)),0)=0),"Đang theo dõi",IFERROR(INDEX('06_DS_Chinh_Thuc'!$K:$K,MATCH(IFERROR(INDEX('05_Theo_Doi_Gio_Cong_7_Ngay'!$R:$R,MATCH(IFERROR(INDEX('02_DS_Nhan_Viec'!$J:$J,MATCH($B98,'02_DS_Nhan_Viec'!$B:$B,0)),""),'05_Theo_Doi_Gio_Cong_7_Ngay'!$B:$B,0)),0),'06_DS_Chinh_Thuc'!$B:$B,0)),"Đang theo dõi"))))</f>
      </c>
    </row>
    <row r="99" ht="14.25" customHeight="1" spans="1:55" x14ac:dyDescent="0.25">
      <c r="A99" s="52">
        <f t="shared" si="0"/>
      </c>
      <c r="B99" s="52">
        <f t="shared" si="1"/>
      </c>
      <c r="C99" s="53"/>
      <c r="D99" s="54"/>
      <c r="E99" s="55"/>
      <c r="F99" s="56"/>
      <c r="G99" s="56"/>
      <c r="H99" s="56"/>
      <c r="I99" s="54"/>
      <c r="J99" s="57"/>
      <c r="K99" s="59"/>
      <c r="L99" s="54"/>
      <c r="M99" s="54"/>
      <c r="N99" s="54"/>
      <c r="O99" s="55"/>
      <c r="P99" s="54"/>
      <c r="Q99" s="58"/>
      <c r="R99" s="54"/>
      <c r="S99" s="54"/>
      <c r="T99" s="59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6"/>
      <c r="AH99" s="56"/>
      <c r="AI99" s="54"/>
      <c r="AJ99" s="54"/>
      <c r="AK99" s="54"/>
      <c r="AL99" s="56"/>
      <c r="AM99" s="56"/>
      <c r="AN99" s="54"/>
      <c r="AO99" s="56"/>
      <c r="AP99" s="54"/>
      <c r="AQ99" s="56"/>
      <c r="AR99" s="54"/>
      <c r="AS99" s="54"/>
      <c r="AT99" s="54"/>
      <c r="AU99" s="59"/>
      <c r="AV99" s="54"/>
      <c r="AW99" s="54"/>
      <c r="AX99" s="59"/>
      <c r="AY99" s="59"/>
      <c r="AZ99" s="59"/>
      <c r="BA99" s="60">
        <f>IFERROR(VLOOKUP(B99,'02_DS_Nhan_Viec'!B:L,5,0),"")</f>
      </c>
      <c r="BB99" s="54"/>
      <c r="BC99" s="61">
        <f t="array" ref="BC99">IF($B99="","",IF(IFERROR(INDEX('02_DS_Nhan_Viec'!$J:$J,MATCH($B99,'02_DS_Nhan_Viec'!$B:$B,0)),"")="","Đang theo dõi",IF(OR(IFERROR(INDEX('05_Theo_Doi_Gio_Cong_7_Ngay'!$R:$R,MATCH(IFERROR(INDEX('02_DS_Nhan_Viec'!$J:$J,MATCH($B99,'02_DS_Nhan_Viec'!$B:$B,0)),""),'05_Theo_Doi_Gio_Cong_7_Ngay'!$B:$B,0)),"")="",IFERROR(INDEX('05_Theo_Doi_Gio_Cong_7_Ngay'!$R:$R,MATCH(IFERROR(INDEX('02_DS_Nhan_Viec'!$J:$J,MATCH($B99,'02_DS_Nhan_Viec'!$B:$B,0)),""),'05_Theo_Doi_Gio_Cong_7_Ngay'!$B:$B,0)),0)=0),"Đang theo dõi",IFERROR(INDEX('06_DS_Chinh_Thuc'!$K:$K,MATCH(IFERROR(INDEX('05_Theo_Doi_Gio_Cong_7_Ngay'!$R:$R,MATCH(IFERROR(INDEX('02_DS_Nhan_Viec'!$J:$J,MATCH($B99,'02_DS_Nhan_Viec'!$B:$B,0)),""),'05_Theo_Doi_Gio_Cong_7_Ngay'!$B:$B,0)),0),'06_DS_Chinh_Thuc'!$B:$B,0)),"Đang theo dõi"))))</f>
      </c>
    </row>
    <row r="100" ht="14.25" customHeight="1" spans="1:55" x14ac:dyDescent="0.25">
      <c r="A100" s="52">
        <f t="shared" si="0"/>
      </c>
      <c r="B100" s="52">
        <f t="shared" si="1"/>
      </c>
      <c r="C100" s="53"/>
      <c r="D100" s="54"/>
      <c r="E100" s="55"/>
      <c r="F100" s="56"/>
      <c r="G100" s="56"/>
      <c r="H100" s="56"/>
      <c r="I100" s="54"/>
      <c r="J100" s="57"/>
      <c r="K100" s="59"/>
      <c r="L100" s="54"/>
      <c r="M100" s="54"/>
      <c r="N100" s="54"/>
      <c r="O100" s="55"/>
      <c r="P100" s="54"/>
      <c r="Q100" s="58"/>
      <c r="R100" s="54"/>
      <c r="S100" s="54"/>
      <c r="T100" s="59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6"/>
      <c r="AH100" s="56"/>
      <c r="AI100" s="54"/>
      <c r="AJ100" s="54"/>
      <c r="AK100" s="54"/>
      <c r="AL100" s="56"/>
      <c r="AM100" s="56"/>
      <c r="AN100" s="54"/>
      <c r="AO100" s="56"/>
      <c r="AP100" s="54"/>
      <c r="AQ100" s="56"/>
      <c r="AR100" s="54"/>
      <c r="AS100" s="54"/>
      <c r="AT100" s="54"/>
      <c r="AU100" s="59"/>
      <c r="AV100" s="54"/>
      <c r="AW100" s="54"/>
      <c r="AX100" s="59"/>
      <c r="AY100" s="59"/>
      <c r="AZ100" s="59"/>
      <c r="BA100" s="60">
        <f>IFERROR(VLOOKUP(B100,'02_DS_Nhan_Viec'!B:L,5,0),"")</f>
      </c>
      <c r="BB100" s="54"/>
      <c r="BC100" s="61">
        <f t="array" ref="BC100">IF($B100="","",IF(IFERROR(INDEX('02_DS_Nhan_Viec'!$J:$J,MATCH($B100,'02_DS_Nhan_Viec'!$B:$B,0)),"")="","Đang theo dõi",IF(OR(IFERROR(INDEX('05_Theo_Doi_Gio_Cong_7_Ngay'!$R:$R,MATCH(IFERROR(INDEX('02_DS_Nhan_Viec'!$J:$J,MATCH($B100,'02_DS_Nhan_Viec'!$B:$B,0)),""),'05_Theo_Doi_Gio_Cong_7_Ngay'!$B:$B,0)),"")="",IFERROR(INDEX('05_Theo_Doi_Gio_Cong_7_Ngay'!$R:$R,MATCH(IFERROR(INDEX('02_DS_Nhan_Viec'!$J:$J,MATCH($B100,'02_DS_Nhan_Viec'!$B:$B,0)),""),'05_Theo_Doi_Gio_Cong_7_Ngay'!$B:$B,0)),0)=0),"Đang theo dõi",IFERROR(INDEX('06_DS_Chinh_Thuc'!$K:$K,MATCH(IFERROR(INDEX('05_Theo_Doi_Gio_Cong_7_Ngay'!$R:$R,MATCH(IFERROR(INDEX('02_DS_Nhan_Viec'!$J:$J,MATCH($B100,'02_DS_Nhan_Viec'!$B:$B,0)),""),'05_Theo_Doi_Gio_Cong_7_Ngay'!$B:$B,0)),0),'06_DS_Chinh_Thuc'!$B:$B,0)),"Đang theo dõi"))))</f>
      </c>
    </row>
    <row r="101" ht="14.25" customHeight="1" spans="1:55" x14ac:dyDescent="0.25">
      <c r="A101" s="52">
        <f t="shared" si="0"/>
      </c>
      <c r="B101" s="52">
        <f t="shared" si="1"/>
      </c>
      <c r="C101" s="53"/>
      <c r="D101" s="54"/>
      <c r="E101" s="55"/>
      <c r="F101" s="56"/>
      <c r="G101" s="56"/>
      <c r="H101" s="56"/>
      <c r="I101" s="54"/>
      <c r="J101" s="57"/>
      <c r="K101" s="59"/>
      <c r="L101" s="54"/>
      <c r="M101" s="54"/>
      <c r="N101" s="54"/>
      <c r="O101" s="55"/>
      <c r="P101" s="54"/>
      <c r="Q101" s="58"/>
      <c r="R101" s="54"/>
      <c r="S101" s="54"/>
      <c r="T101" s="59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6"/>
      <c r="AH101" s="56"/>
      <c r="AI101" s="54"/>
      <c r="AJ101" s="54"/>
      <c r="AK101" s="54"/>
      <c r="AL101" s="56"/>
      <c r="AM101" s="56"/>
      <c r="AN101" s="54"/>
      <c r="AO101" s="56"/>
      <c r="AP101" s="54"/>
      <c r="AQ101" s="56"/>
      <c r="AR101" s="54"/>
      <c r="AS101" s="54"/>
      <c r="AT101" s="54"/>
      <c r="AU101" s="59"/>
      <c r="AV101" s="54"/>
      <c r="AW101" s="54"/>
      <c r="AX101" s="59"/>
      <c r="AY101" s="59"/>
      <c r="AZ101" s="59"/>
      <c r="BA101" s="60">
        <f>IFERROR(VLOOKUP(B101,'02_DS_Nhan_Viec'!B:L,5,0),"")</f>
      </c>
      <c r="BB101" s="54"/>
      <c r="BC101" s="61">
        <f t="array" ref="BC101">IF($B101="","",IF(IFERROR(INDEX('02_DS_Nhan_Viec'!$J:$J,MATCH($B101,'02_DS_Nhan_Viec'!$B:$B,0)),"")="","Đang theo dõi",IF(OR(IFERROR(INDEX('05_Theo_Doi_Gio_Cong_7_Ngay'!$R:$R,MATCH(IFERROR(INDEX('02_DS_Nhan_Viec'!$J:$J,MATCH($B101,'02_DS_Nhan_Viec'!$B:$B,0)),""),'05_Theo_Doi_Gio_Cong_7_Ngay'!$B:$B,0)),"")="",IFERROR(INDEX('05_Theo_Doi_Gio_Cong_7_Ngay'!$R:$R,MATCH(IFERROR(INDEX('02_DS_Nhan_Viec'!$J:$J,MATCH($B101,'02_DS_Nhan_Viec'!$B:$B,0)),""),'05_Theo_Doi_Gio_Cong_7_Ngay'!$B:$B,0)),0)=0),"Đang theo dõi",IFERROR(INDEX('06_DS_Chinh_Thuc'!$K:$K,MATCH(IFERROR(INDEX('05_Theo_Doi_Gio_Cong_7_Ngay'!$R:$R,MATCH(IFERROR(INDEX('02_DS_Nhan_Viec'!$J:$J,MATCH($B101,'02_DS_Nhan_Viec'!$B:$B,0)),""),'05_Theo_Doi_Gio_Cong_7_Ngay'!$B:$B,0)),0),'06_DS_Chinh_Thuc'!$B:$B,0)),"Đang theo dõi"))))</f>
      </c>
    </row>
    <row r="102" ht="14.25" customHeight="1" spans="1:55" x14ac:dyDescent="0.25">
      <c r="A102" s="52">
        <f t="shared" si="0"/>
      </c>
      <c r="B102" s="52">
        <f t="shared" si="1"/>
      </c>
      <c r="C102" s="53"/>
      <c r="D102" s="54"/>
      <c r="E102" s="55"/>
      <c r="F102" s="56"/>
      <c r="G102" s="56"/>
      <c r="H102" s="56"/>
      <c r="I102" s="54"/>
      <c r="J102" s="57"/>
      <c r="K102" s="59"/>
      <c r="L102" s="54"/>
      <c r="M102" s="54"/>
      <c r="N102" s="54"/>
      <c r="O102" s="55"/>
      <c r="P102" s="54"/>
      <c r="Q102" s="58"/>
      <c r="R102" s="54"/>
      <c r="S102" s="54"/>
      <c r="T102" s="59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6"/>
      <c r="AH102" s="56"/>
      <c r="AI102" s="54"/>
      <c r="AJ102" s="54"/>
      <c r="AK102" s="54"/>
      <c r="AL102" s="56"/>
      <c r="AM102" s="56"/>
      <c r="AN102" s="54"/>
      <c r="AO102" s="56"/>
      <c r="AP102" s="54"/>
      <c r="AQ102" s="56"/>
      <c r="AR102" s="54"/>
      <c r="AS102" s="54"/>
      <c r="AT102" s="54"/>
      <c r="AU102" s="59"/>
      <c r="AV102" s="54"/>
      <c r="AW102" s="54"/>
      <c r="AX102" s="59"/>
      <c r="AY102" s="59"/>
      <c r="AZ102" s="59"/>
      <c r="BA102" s="60">
        <f>IFERROR(VLOOKUP(B102,'02_DS_Nhan_Viec'!B:L,5,0),"")</f>
      </c>
      <c r="BB102" s="54"/>
      <c r="BC102" s="61">
        <f t="array" ref="BC102">IF($B102="","",IF(IFERROR(INDEX('02_DS_Nhan_Viec'!$J:$J,MATCH($B102,'02_DS_Nhan_Viec'!$B:$B,0)),"")="","Đang theo dõi",IF(OR(IFERROR(INDEX('05_Theo_Doi_Gio_Cong_7_Ngay'!$R:$R,MATCH(IFERROR(INDEX('02_DS_Nhan_Viec'!$J:$J,MATCH($B102,'02_DS_Nhan_Viec'!$B:$B,0)),""),'05_Theo_Doi_Gio_Cong_7_Ngay'!$B:$B,0)),"")="",IFERROR(INDEX('05_Theo_Doi_Gio_Cong_7_Ngay'!$R:$R,MATCH(IFERROR(INDEX('02_DS_Nhan_Viec'!$J:$J,MATCH($B102,'02_DS_Nhan_Viec'!$B:$B,0)),""),'05_Theo_Doi_Gio_Cong_7_Ngay'!$B:$B,0)),0)=0),"Đang theo dõi",IFERROR(INDEX('06_DS_Chinh_Thuc'!$K:$K,MATCH(IFERROR(INDEX('05_Theo_Doi_Gio_Cong_7_Ngay'!$R:$R,MATCH(IFERROR(INDEX('02_DS_Nhan_Viec'!$J:$J,MATCH($B102,'02_DS_Nhan_Viec'!$B:$B,0)),""),'05_Theo_Doi_Gio_Cong_7_Ngay'!$B:$B,0)),0),'06_DS_Chinh_Thuc'!$B:$B,0)),"Đang theo dõi"))))</f>
      </c>
    </row>
    <row r="103" ht="14.25" customHeight="1" spans="1:55" x14ac:dyDescent="0.25">
      <c r="A103" s="52">
        <f t="shared" si="0"/>
      </c>
      <c r="B103" s="52">
        <f t="shared" si="1"/>
      </c>
      <c r="C103" s="53"/>
      <c r="D103" s="54"/>
      <c r="E103" s="55"/>
      <c r="F103" s="56"/>
      <c r="G103" s="56"/>
      <c r="H103" s="56"/>
      <c r="I103" s="54"/>
      <c r="J103" s="57"/>
      <c r="K103" s="59"/>
      <c r="L103" s="54"/>
      <c r="M103" s="54"/>
      <c r="N103" s="54"/>
      <c r="O103" s="55"/>
      <c r="P103" s="54"/>
      <c r="Q103" s="58"/>
      <c r="R103" s="54"/>
      <c r="S103" s="54"/>
      <c r="T103" s="59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6"/>
      <c r="AH103" s="56"/>
      <c r="AI103" s="54"/>
      <c r="AJ103" s="54"/>
      <c r="AK103" s="54"/>
      <c r="AL103" s="56"/>
      <c r="AM103" s="56"/>
      <c r="AN103" s="54"/>
      <c r="AO103" s="56"/>
      <c r="AP103" s="54"/>
      <c r="AQ103" s="56"/>
      <c r="AR103" s="54"/>
      <c r="AS103" s="54"/>
      <c r="AT103" s="54"/>
      <c r="AU103" s="59"/>
      <c r="AV103" s="54"/>
      <c r="AW103" s="54"/>
      <c r="AX103" s="59"/>
      <c r="AY103" s="59"/>
      <c r="AZ103" s="59"/>
      <c r="BA103" s="60">
        <f>IFERROR(VLOOKUP(B103,'02_DS_Nhan_Viec'!B:L,5,0),"")</f>
      </c>
      <c r="BB103" s="54"/>
      <c r="BC103" s="61">
        <f t="array" ref="BC103">IF($B103="","",IF(IFERROR(INDEX('02_DS_Nhan_Viec'!$J:$J,MATCH($B103,'02_DS_Nhan_Viec'!$B:$B,0)),"")="","Đang theo dõi",IF(OR(IFERROR(INDEX('05_Theo_Doi_Gio_Cong_7_Ngay'!$R:$R,MATCH(IFERROR(INDEX('02_DS_Nhan_Viec'!$J:$J,MATCH($B103,'02_DS_Nhan_Viec'!$B:$B,0)),""),'05_Theo_Doi_Gio_Cong_7_Ngay'!$B:$B,0)),"")="",IFERROR(INDEX('05_Theo_Doi_Gio_Cong_7_Ngay'!$R:$R,MATCH(IFERROR(INDEX('02_DS_Nhan_Viec'!$J:$J,MATCH($B103,'02_DS_Nhan_Viec'!$B:$B,0)),""),'05_Theo_Doi_Gio_Cong_7_Ngay'!$B:$B,0)),0)=0),"Đang theo dõi",IFERROR(INDEX('06_DS_Chinh_Thuc'!$K:$K,MATCH(IFERROR(INDEX('05_Theo_Doi_Gio_Cong_7_Ngay'!$R:$R,MATCH(IFERROR(INDEX('02_DS_Nhan_Viec'!$J:$J,MATCH($B103,'02_DS_Nhan_Viec'!$B:$B,0)),""),'05_Theo_Doi_Gio_Cong_7_Ngay'!$B:$B,0)),0),'06_DS_Chinh_Thuc'!$B:$B,0)),"Đang theo dõi"))))</f>
      </c>
    </row>
    <row r="104" ht="14.25" customHeight="1" spans="1:55" x14ac:dyDescent="0.25">
      <c r="A104" s="52">
        <f t="shared" si="0"/>
      </c>
      <c r="B104" s="52">
        <f t="shared" si="1"/>
      </c>
      <c r="C104" s="53"/>
      <c r="D104" s="54"/>
      <c r="E104" s="55"/>
      <c r="F104" s="56"/>
      <c r="G104" s="56"/>
      <c r="H104" s="56"/>
      <c r="I104" s="54"/>
      <c r="J104" s="57"/>
      <c r="K104" s="59"/>
      <c r="L104" s="54"/>
      <c r="M104" s="54"/>
      <c r="N104" s="54"/>
      <c r="O104" s="55"/>
      <c r="P104" s="54"/>
      <c r="Q104" s="58"/>
      <c r="R104" s="54"/>
      <c r="S104" s="54"/>
      <c r="T104" s="59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6"/>
      <c r="AH104" s="56"/>
      <c r="AI104" s="54"/>
      <c r="AJ104" s="54"/>
      <c r="AK104" s="54"/>
      <c r="AL104" s="56"/>
      <c r="AM104" s="56"/>
      <c r="AN104" s="54"/>
      <c r="AO104" s="56"/>
      <c r="AP104" s="54"/>
      <c r="AQ104" s="56"/>
      <c r="AR104" s="54"/>
      <c r="AS104" s="54"/>
      <c r="AT104" s="54"/>
      <c r="AU104" s="59"/>
      <c r="AV104" s="54"/>
      <c r="AW104" s="54"/>
      <c r="AX104" s="59"/>
      <c r="AY104" s="59"/>
      <c r="AZ104" s="59"/>
      <c r="BA104" s="60">
        <f>IFERROR(VLOOKUP(B104,'02_DS_Nhan_Viec'!B:L,5,0),"")</f>
      </c>
      <c r="BB104" s="54"/>
      <c r="BC104" s="61">
        <f t="array" ref="BC104">IF($B104="","",IF(IFERROR(INDEX('02_DS_Nhan_Viec'!$J:$J,MATCH($B104,'02_DS_Nhan_Viec'!$B:$B,0)),"")="","Đang theo dõi",IF(OR(IFERROR(INDEX('05_Theo_Doi_Gio_Cong_7_Ngay'!$R:$R,MATCH(IFERROR(INDEX('02_DS_Nhan_Viec'!$J:$J,MATCH($B104,'02_DS_Nhan_Viec'!$B:$B,0)),""),'05_Theo_Doi_Gio_Cong_7_Ngay'!$B:$B,0)),"")="",IFERROR(INDEX('05_Theo_Doi_Gio_Cong_7_Ngay'!$R:$R,MATCH(IFERROR(INDEX('02_DS_Nhan_Viec'!$J:$J,MATCH($B104,'02_DS_Nhan_Viec'!$B:$B,0)),""),'05_Theo_Doi_Gio_Cong_7_Ngay'!$B:$B,0)),0)=0),"Đang theo dõi",IFERROR(INDEX('06_DS_Chinh_Thuc'!$K:$K,MATCH(IFERROR(INDEX('05_Theo_Doi_Gio_Cong_7_Ngay'!$R:$R,MATCH(IFERROR(INDEX('02_DS_Nhan_Viec'!$J:$J,MATCH($B104,'02_DS_Nhan_Viec'!$B:$B,0)),""),'05_Theo_Doi_Gio_Cong_7_Ngay'!$B:$B,0)),0),'06_DS_Chinh_Thuc'!$B:$B,0)),"Đang theo dõi"))))</f>
      </c>
    </row>
    <row r="105" ht="14.25" customHeight="1" spans="1:55" x14ac:dyDescent="0.25">
      <c r="A105" s="52">
        <f t="shared" si="0"/>
      </c>
      <c r="B105" s="52">
        <f t="shared" si="1"/>
      </c>
      <c r="C105" s="53"/>
      <c r="D105" s="54"/>
      <c r="E105" s="55"/>
      <c r="F105" s="56"/>
      <c r="G105" s="56"/>
      <c r="H105" s="56"/>
      <c r="I105" s="54"/>
      <c r="J105" s="57"/>
      <c r="K105" s="59"/>
      <c r="L105" s="54"/>
      <c r="M105" s="54"/>
      <c r="N105" s="54"/>
      <c r="O105" s="55"/>
      <c r="P105" s="54"/>
      <c r="Q105" s="58"/>
      <c r="R105" s="54"/>
      <c r="S105" s="54"/>
      <c r="T105" s="59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6"/>
      <c r="AH105" s="56"/>
      <c r="AI105" s="54"/>
      <c r="AJ105" s="54"/>
      <c r="AK105" s="54"/>
      <c r="AL105" s="56"/>
      <c r="AM105" s="56"/>
      <c r="AN105" s="54"/>
      <c r="AO105" s="56"/>
      <c r="AP105" s="54"/>
      <c r="AQ105" s="56"/>
      <c r="AR105" s="54"/>
      <c r="AS105" s="54"/>
      <c r="AT105" s="54"/>
      <c r="AU105" s="59"/>
      <c r="AV105" s="54"/>
      <c r="AW105" s="54"/>
      <c r="AX105" s="59"/>
      <c r="AY105" s="59"/>
      <c r="AZ105" s="59"/>
      <c r="BA105" s="60">
        <f>IFERROR(VLOOKUP(B105,'02_DS_Nhan_Viec'!B:L,5,0),"")</f>
      </c>
      <c r="BB105" s="54"/>
      <c r="BC105" s="61">
        <f t="array" ref="BC105">IF($B105="","",IF(IFERROR(INDEX('02_DS_Nhan_Viec'!$J:$J,MATCH($B105,'02_DS_Nhan_Viec'!$B:$B,0)),"")="","Đang theo dõi",IF(OR(IFERROR(INDEX('05_Theo_Doi_Gio_Cong_7_Ngay'!$R:$R,MATCH(IFERROR(INDEX('02_DS_Nhan_Viec'!$J:$J,MATCH($B105,'02_DS_Nhan_Viec'!$B:$B,0)),""),'05_Theo_Doi_Gio_Cong_7_Ngay'!$B:$B,0)),"")="",IFERROR(INDEX('05_Theo_Doi_Gio_Cong_7_Ngay'!$R:$R,MATCH(IFERROR(INDEX('02_DS_Nhan_Viec'!$J:$J,MATCH($B105,'02_DS_Nhan_Viec'!$B:$B,0)),""),'05_Theo_Doi_Gio_Cong_7_Ngay'!$B:$B,0)),0)=0),"Đang theo dõi",IFERROR(INDEX('06_DS_Chinh_Thuc'!$K:$K,MATCH(IFERROR(INDEX('05_Theo_Doi_Gio_Cong_7_Ngay'!$R:$R,MATCH(IFERROR(INDEX('02_DS_Nhan_Viec'!$J:$J,MATCH($B105,'02_DS_Nhan_Viec'!$B:$B,0)),""),'05_Theo_Doi_Gio_Cong_7_Ngay'!$B:$B,0)),0),'06_DS_Chinh_Thuc'!$B:$B,0)),"Đang theo dõi"))))</f>
      </c>
    </row>
    <row r="106" ht="14.25" customHeight="1" spans="1:55" x14ac:dyDescent="0.25">
      <c r="A106" s="52">
        <f t="shared" si="0"/>
      </c>
      <c r="B106" s="52">
        <f t="shared" si="1"/>
      </c>
      <c r="C106" s="53"/>
      <c r="D106" s="54"/>
      <c r="E106" s="55"/>
      <c r="F106" s="56"/>
      <c r="G106" s="56"/>
      <c r="H106" s="56"/>
      <c r="I106" s="54"/>
      <c r="J106" s="57"/>
      <c r="K106" s="59"/>
      <c r="L106" s="54"/>
      <c r="M106" s="54"/>
      <c r="N106" s="54"/>
      <c r="O106" s="55"/>
      <c r="P106" s="54"/>
      <c r="Q106" s="58"/>
      <c r="R106" s="54"/>
      <c r="S106" s="54"/>
      <c r="T106" s="59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6"/>
      <c r="AH106" s="56"/>
      <c r="AI106" s="54"/>
      <c r="AJ106" s="54"/>
      <c r="AK106" s="54"/>
      <c r="AL106" s="56"/>
      <c r="AM106" s="56"/>
      <c r="AN106" s="54"/>
      <c r="AO106" s="56"/>
      <c r="AP106" s="54"/>
      <c r="AQ106" s="56"/>
      <c r="AR106" s="54"/>
      <c r="AS106" s="54"/>
      <c r="AT106" s="54"/>
      <c r="AU106" s="59"/>
      <c r="AV106" s="54"/>
      <c r="AW106" s="54"/>
      <c r="AX106" s="59"/>
      <c r="AY106" s="59"/>
      <c r="AZ106" s="59"/>
      <c r="BA106" s="60">
        <f>IFERROR(VLOOKUP(B106,'02_DS_Nhan_Viec'!B:L,5,0),"")</f>
      </c>
      <c r="BB106" s="54"/>
      <c r="BC106" s="61">
        <f t="array" ref="BC106">IF($B106="","",IF(IFERROR(INDEX('02_DS_Nhan_Viec'!$J:$J,MATCH($B106,'02_DS_Nhan_Viec'!$B:$B,0)),"")="","Đang theo dõi",IF(OR(IFERROR(INDEX('05_Theo_Doi_Gio_Cong_7_Ngay'!$R:$R,MATCH(IFERROR(INDEX('02_DS_Nhan_Viec'!$J:$J,MATCH($B106,'02_DS_Nhan_Viec'!$B:$B,0)),""),'05_Theo_Doi_Gio_Cong_7_Ngay'!$B:$B,0)),"")="",IFERROR(INDEX('05_Theo_Doi_Gio_Cong_7_Ngay'!$R:$R,MATCH(IFERROR(INDEX('02_DS_Nhan_Viec'!$J:$J,MATCH($B106,'02_DS_Nhan_Viec'!$B:$B,0)),""),'05_Theo_Doi_Gio_Cong_7_Ngay'!$B:$B,0)),0)=0),"Đang theo dõi",IFERROR(INDEX('06_DS_Chinh_Thuc'!$K:$K,MATCH(IFERROR(INDEX('05_Theo_Doi_Gio_Cong_7_Ngay'!$R:$R,MATCH(IFERROR(INDEX('02_DS_Nhan_Viec'!$J:$J,MATCH($B106,'02_DS_Nhan_Viec'!$B:$B,0)),""),'05_Theo_Doi_Gio_Cong_7_Ngay'!$B:$B,0)),0),'06_DS_Chinh_Thuc'!$B:$B,0)),"Đang theo dõi"))))</f>
      </c>
    </row>
    <row r="107" ht="14.25" customHeight="1" spans="1:55" x14ac:dyDescent="0.25">
      <c r="A107" s="52">
        <f t="shared" si="0"/>
      </c>
      <c r="B107" s="52">
        <f t="shared" si="1"/>
      </c>
      <c r="C107" s="53"/>
      <c r="D107" s="54"/>
      <c r="E107" s="55"/>
      <c r="F107" s="56"/>
      <c r="G107" s="56"/>
      <c r="H107" s="56"/>
      <c r="I107" s="54"/>
      <c r="J107" s="57"/>
      <c r="K107" s="59"/>
      <c r="L107" s="54"/>
      <c r="M107" s="54"/>
      <c r="N107" s="54"/>
      <c r="O107" s="55"/>
      <c r="P107" s="54"/>
      <c r="Q107" s="58"/>
      <c r="R107" s="54"/>
      <c r="S107" s="54"/>
      <c r="T107" s="59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6"/>
      <c r="AH107" s="56"/>
      <c r="AI107" s="54"/>
      <c r="AJ107" s="54"/>
      <c r="AK107" s="54"/>
      <c r="AL107" s="56"/>
      <c r="AM107" s="56"/>
      <c r="AN107" s="54"/>
      <c r="AO107" s="56"/>
      <c r="AP107" s="54"/>
      <c r="AQ107" s="56"/>
      <c r="AR107" s="54"/>
      <c r="AS107" s="54"/>
      <c r="AT107" s="54"/>
      <c r="AU107" s="59"/>
      <c r="AV107" s="54"/>
      <c r="AW107" s="54"/>
      <c r="AX107" s="59"/>
      <c r="AY107" s="59"/>
      <c r="AZ107" s="59"/>
      <c r="BA107" s="60">
        <f>IFERROR(VLOOKUP(B107,'02_DS_Nhan_Viec'!B:L,5,0),"")</f>
      </c>
      <c r="BB107" s="54"/>
      <c r="BC107" s="61">
        <f t="array" ref="BC107">IF($B107="","",IF(IFERROR(INDEX('02_DS_Nhan_Viec'!$J:$J,MATCH($B107,'02_DS_Nhan_Viec'!$B:$B,0)),"")="","Đang theo dõi",IF(OR(IFERROR(INDEX('05_Theo_Doi_Gio_Cong_7_Ngay'!$R:$R,MATCH(IFERROR(INDEX('02_DS_Nhan_Viec'!$J:$J,MATCH($B107,'02_DS_Nhan_Viec'!$B:$B,0)),""),'05_Theo_Doi_Gio_Cong_7_Ngay'!$B:$B,0)),"")="",IFERROR(INDEX('05_Theo_Doi_Gio_Cong_7_Ngay'!$R:$R,MATCH(IFERROR(INDEX('02_DS_Nhan_Viec'!$J:$J,MATCH($B107,'02_DS_Nhan_Viec'!$B:$B,0)),""),'05_Theo_Doi_Gio_Cong_7_Ngay'!$B:$B,0)),0)=0),"Đang theo dõi",IFERROR(INDEX('06_DS_Chinh_Thuc'!$K:$K,MATCH(IFERROR(INDEX('05_Theo_Doi_Gio_Cong_7_Ngay'!$R:$R,MATCH(IFERROR(INDEX('02_DS_Nhan_Viec'!$J:$J,MATCH($B107,'02_DS_Nhan_Viec'!$B:$B,0)),""),'05_Theo_Doi_Gio_Cong_7_Ngay'!$B:$B,0)),0),'06_DS_Chinh_Thuc'!$B:$B,0)),"Đang theo dõi"))))</f>
      </c>
    </row>
    <row r="108" ht="14.25" customHeight="1" spans="1:55" x14ac:dyDescent="0.25">
      <c r="A108" s="52">
        <f t="shared" si="0"/>
      </c>
      <c r="B108" s="52">
        <f t="shared" si="1"/>
      </c>
      <c r="C108" s="53"/>
      <c r="D108" s="54"/>
      <c r="E108" s="55"/>
      <c r="F108" s="56"/>
      <c r="G108" s="56"/>
      <c r="H108" s="56"/>
      <c r="I108" s="54"/>
      <c r="J108" s="57"/>
      <c r="K108" s="59"/>
      <c r="L108" s="54"/>
      <c r="M108" s="54"/>
      <c r="N108" s="54"/>
      <c r="O108" s="55"/>
      <c r="P108" s="54"/>
      <c r="Q108" s="58"/>
      <c r="R108" s="54"/>
      <c r="S108" s="54"/>
      <c r="T108" s="59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6"/>
      <c r="AH108" s="56"/>
      <c r="AI108" s="54"/>
      <c r="AJ108" s="54"/>
      <c r="AK108" s="54"/>
      <c r="AL108" s="56"/>
      <c r="AM108" s="56"/>
      <c r="AN108" s="54"/>
      <c r="AO108" s="56"/>
      <c r="AP108" s="54"/>
      <c r="AQ108" s="56"/>
      <c r="AR108" s="54"/>
      <c r="AS108" s="54"/>
      <c r="AT108" s="54"/>
      <c r="AU108" s="59"/>
      <c r="AV108" s="54"/>
      <c r="AW108" s="54"/>
      <c r="AX108" s="59"/>
      <c r="AY108" s="59"/>
      <c r="AZ108" s="59"/>
      <c r="BA108" s="60">
        <f>IFERROR(VLOOKUP(B108,'02_DS_Nhan_Viec'!B:L,5,0),"")</f>
      </c>
      <c r="BB108" s="54"/>
      <c r="BC108" s="61">
        <f t="array" ref="BC108">IF($B108="","",IF(IFERROR(INDEX('02_DS_Nhan_Viec'!$J:$J,MATCH($B108,'02_DS_Nhan_Viec'!$B:$B,0)),"")="","Đang theo dõi",IF(OR(IFERROR(INDEX('05_Theo_Doi_Gio_Cong_7_Ngay'!$R:$R,MATCH(IFERROR(INDEX('02_DS_Nhan_Viec'!$J:$J,MATCH($B108,'02_DS_Nhan_Viec'!$B:$B,0)),""),'05_Theo_Doi_Gio_Cong_7_Ngay'!$B:$B,0)),"")="",IFERROR(INDEX('05_Theo_Doi_Gio_Cong_7_Ngay'!$R:$R,MATCH(IFERROR(INDEX('02_DS_Nhan_Viec'!$J:$J,MATCH($B108,'02_DS_Nhan_Viec'!$B:$B,0)),""),'05_Theo_Doi_Gio_Cong_7_Ngay'!$B:$B,0)),0)=0),"Đang theo dõi",IFERROR(INDEX('06_DS_Chinh_Thuc'!$K:$K,MATCH(IFERROR(INDEX('05_Theo_Doi_Gio_Cong_7_Ngay'!$R:$R,MATCH(IFERROR(INDEX('02_DS_Nhan_Viec'!$J:$J,MATCH($B108,'02_DS_Nhan_Viec'!$B:$B,0)),""),'05_Theo_Doi_Gio_Cong_7_Ngay'!$B:$B,0)),0),'06_DS_Chinh_Thuc'!$B:$B,0)),"Đang theo dõi"))))</f>
      </c>
    </row>
    <row r="109" ht="14.25" customHeight="1" spans="1:55" x14ac:dyDescent="0.25">
      <c r="A109" s="52">
        <f t="shared" si="0"/>
      </c>
      <c r="B109" s="52">
        <f t="shared" si="1"/>
      </c>
      <c r="C109" s="53"/>
      <c r="D109" s="54"/>
      <c r="E109" s="55"/>
      <c r="F109" s="56"/>
      <c r="G109" s="56"/>
      <c r="H109" s="56"/>
      <c r="I109" s="54"/>
      <c r="J109" s="57"/>
      <c r="K109" s="59"/>
      <c r="L109" s="54"/>
      <c r="M109" s="54"/>
      <c r="N109" s="54"/>
      <c r="O109" s="55"/>
      <c r="P109" s="54"/>
      <c r="Q109" s="58"/>
      <c r="R109" s="54"/>
      <c r="S109" s="54"/>
      <c r="T109" s="59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6"/>
      <c r="AH109" s="56"/>
      <c r="AI109" s="54"/>
      <c r="AJ109" s="54"/>
      <c r="AK109" s="54"/>
      <c r="AL109" s="56"/>
      <c r="AM109" s="56"/>
      <c r="AN109" s="54"/>
      <c r="AO109" s="56"/>
      <c r="AP109" s="54"/>
      <c r="AQ109" s="56"/>
      <c r="AR109" s="54"/>
      <c r="AS109" s="54"/>
      <c r="AT109" s="54"/>
      <c r="AU109" s="59"/>
      <c r="AV109" s="54"/>
      <c r="AW109" s="54"/>
      <c r="AX109" s="59"/>
      <c r="AY109" s="59"/>
      <c r="AZ109" s="59"/>
      <c r="BA109" s="60">
        <f>IFERROR(VLOOKUP(B109,'02_DS_Nhan_Viec'!B:L,5,0),"")</f>
      </c>
      <c r="BB109" s="54"/>
      <c r="BC109" s="61">
        <f t="array" ref="BC109">IF($B109="","",IF(IFERROR(INDEX('02_DS_Nhan_Viec'!$J:$J,MATCH($B109,'02_DS_Nhan_Viec'!$B:$B,0)),"")="","Đang theo dõi",IF(OR(IFERROR(INDEX('05_Theo_Doi_Gio_Cong_7_Ngay'!$R:$R,MATCH(IFERROR(INDEX('02_DS_Nhan_Viec'!$J:$J,MATCH($B109,'02_DS_Nhan_Viec'!$B:$B,0)),""),'05_Theo_Doi_Gio_Cong_7_Ngay'!$B:$B,0)),"")="",IFERROR(INDEX('05_Theo_Doi_Gio_Cong_7_Ngay'!$R:$R,MATCH(IFERROR(INDEX('02_DS_Nhan_Viec'!$J:$J,MATCH($B109,'02_DS_Nhan_Viec'!$B:$B,0)),""),'05_Theo_Doi_Gio_Cong_7_Ngay'!$B:$B,0)),0)=0),"Đang theo dõi",IFERROR(INDEX('06_DS_Chinh_Thuc'!$K:$K,MATCH(IFERROR(INDEX('05_Theo_Doi_Gio_Cong_7_Ngay'!$R:$R,MATCH(IFERROR(INDEX('02_DS_Nhan_Viec'!$J:$J,MATCH($B109,'02_DS_Nhan_Viec'!$B:$B,0)),""),'05_Theo_Doi_Gio_Cong_7_Ngay'!$B:$B,0)),0),'06_DS_Chinh_Thuc'!$B:$B,0)),"Đang theo dõi"))))</f>
      </c>
    </row>
    <row r="110" ht="14.25" customHeight="1" spans="1:55" x14ac:dyDescent="0.25">
      <c r="A110" s="52">
        <f t="shared" si="0"/>
      </c>
      <c r="B110" s="52">
        <f t="shared" si="1"/>
      </c>
      <c r="C110" s="53"/>
      <c r="D110" s="54"/>
      <c r="E110" s="55"/>
      <c r="F110" s="56"/>
      <c r="G110" s="56"/>
      <c r="H110" s="56"/>
      <c r="I110" s="54"/>
      <c r="J110" s="57"/>
      <c r="K110" s="59"/>
      <c r="L110" s="54"/>
      <c r="M110" s="54"/>
      <c r="N110" s="54"/>
      <c r="O110" s="55"/>
      <c r="P110" s="54"/>
      <c r="Q110" s="58"/>
      <c r="R110" s="54"/>
      <c r="S110" s="54"/>
      <c r="T110" s="59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6"/>
      <c r="AH110" s="56"/>
      <c r="AI110" s="54"/>
      <c r="AJ110" s="54"/>
      <c r="AK110" s="54"/>
      <c r="AL110" s="56"/>
      <c r="AM110" s="56"/>
      <c r="AN110" s="54"/>
      <c r="AO110" s="56"/>
      <c r="AP110" s="54"/>
      <c r="AQ110" s="56"/>
      <c r="AR110" s="54"/>
      <c r="AS110" s="54"/>
      <c r="AT110" s="54"/>
      <c r="AU110" s="59"/>
      <c r="AV110" s="54"/>
      <c r="AW110" s="54"/>
      <c r="AX110" s="59"/>
      <c r="AY110" s="59"/>
      <c r="AZ110" s="59"/>
      <c r="BA110" s="60">
        <f>IFERROR(VLOOKUP(B110,'02_DS_Nhan_Viec'!B:L,5,0),"")</f>
      </c>
      <c r="BB110" s="54"/>
      <c r="BC110" s="61">
        <f t="array" ref="BC110">IF($B110="","",IF(IFERROR(INDEX('02_DS_Nhan_Viec'!$J:$J,MATCH($B110,'02_DS_Nhan_Viec'!$B:$B,0)),"")="","Đang theo dõi",IF(OR(IFERROR(INDEX('05_Theo_Doi_Gio_Cong_7_Ngay'!$R:$R,MATCH(IFERROR(INDEX('02_DS_Nhan_Viec'!$J:$J,MATCH($B110,'02_DS_Nhan_Viec'!$B:$B,0)),""),'05_Theo_Doi_Gio_Cong_7_Ngay'!$B:$B,0)),"")="",IFERROR(INDEX('05_Theo_Doi_Gio_Cong_7_Ngay'!$R:$R,MATCH(IFERROR(INDEX('02_DS_Nhan_Viec'!$J:$J,MATCH($B110,'02_DS_Nhan_Viec'!$B:$B,0)),""),'05_Theo_Doi_Gio_Cong_7_Ngay'!$B:$B,0)),0)=0),"Đang theo dõi",IFERROR(INDEX('06_DS_Chinh_Thuc'!$K:$K,MATCH(IFERROR(INDEX('05_Theo_Doi_Gio_Cong_7_Ngay'!$R:$R,MATCH(IFERROR(INDEX('02_DS_Nhan_Viec'!$J:$J,MATCH($B110,'02_DS_Nhan_Viec'!$B:$B,0)),""),'05_Theo_Doi_Gio_Cong_7_Ngay'!$B:$B,0)),0),'06_DS_Chinh_Thuc'!$B:$B,0)),"Đang theo dõi"))))</f>
      </c>
    </row>
    <row r="111" ht="14.25" customHeight="1" spans="1:55" x14ac:dyDescent="0.25">
      <c r="A111" s="52">
        <f t="shared" si="0"/>
      </c>
      <c r="B111" s="52">
        <f t="shared" si="1"/>
      </c>
      <c r="C111" s="53"/>
      <c r="D111" s="54"/>
      <c r="E111" s="55"/>
      <c r="F111" s="56"/>
      <c r="G111" s="56"/>
      <c r="H111" s="56"/>
      <c r="I111" s="54"/>
      <c r="J111" s="57"/>
      <c r="K111" s="59"/>
      <c r="L111" s="54"/>
      <c r="M111" s="54"/>
      <c r="N111" s="54"/>
      <c r="O111" s="55"/>
      <c r="P111" s="54"/>
      <c r="Q111" s="58"/>
      <c r="R111" s="54"/>
      <c r="S111" s="54"/>
      <c r="T111" s="59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6"/>
      <c r="AH111" s="56"/>
      <c r="AI111" s="54"/>
      <c r="AJ111" s="54"/>
      <c r="AK111" s="54"/>
      <c r="AL111" s="56"/>
      <c r="AM111" s="56"/>
      <c r="AN111" s="54"/>
      <c r="AO111" s="56"/>
      <c r="AP111" s="54"/>
      <c r="AQ111" s="56"/>
      <c r="AR111" s="54"/>
      <c r="AS111" s="54"/>
      <c r="AT111" s="54"/>
      <c r="AU111" s="59"/>
      <c r="AV111" s="54"/>
      <c r="AW111" s="54"/>
      <c r="AX111" s="59"/>
      <c r="AY111" s="59"/>
      <c r="AZ111" s="59"/>
      <c r="BA111" s="60">
        <f>IFERROR(VLOOKUP(B111,'02_DS_Nhan_Viec'!B:L,5,0),"")</f>
      </c>
      <c r="BB111" s="54"/>
      <c r="BC111" s="61">
        <f t="array" ref="BC111">IF($B111="","",IF(IFERROR(INDEX('02_DS_Nhan_Viec'!$J:$J,MATCH($B111,'02_DS_Nhan_Viec'!$B:$B,0)),"")="","Đang theo dõi",IF(OR(IFERROR(INDEX('05_Theo_Doi_Gio_Cong_7_Ngay'!$R:$R,MATCH(IFERROR(INDEX('02_DS_Nhan_Viec'!$J:$J,MATCH($B111,'02_DS_Nhan_Viec'!$B:$B,0)),""),'05_Theo_Doi_Gio_Cong_7_Ngay'!$B:$B,0)),"")="",IFERROR(INDEX('05_Theo_Doi_Gio_Cong_7_Ngay'!$R:$R,MATCH(IFERROR(INDEX('02_DS_Nhan_Viec'!$J:$J,MATCH($B111,'02_DS_Nhan_Viec'!$B:$B,0)),""),'05_Theo_Doi_Gio_Cong_7_Ngay'!$B:$B,0)),0)=0),"Đang theo dõi",IFERROR(INDEX('06_DS_Chinh_Thuc'!$K:$K,MATCH(IFERROR(INDEX('05_Theo_Doi_Gio_Cong_7_Ngay'!$R:$R,MATCH(IFERROR(INDEX('02_DS_Nhan_Viec'!$J:$J,MATCH($B111,'02_DS_Nhan_Viec'!$B:$B,0)),""),'05_Theo_Doi_Gio_Cong_7_Ngay'!$B:$B,0)),0),'06_DS_Chinh_Thuc'!$B:$B,0)),"Đang theo dõi"))))</f>
      </c>
    </row>
    <row r="112" ht="14.25" customHeight="1" spans="1:55" x14ac:dyDescent="0.25">
      <c r="A112" s="52">
        <f t="shared" si="0"/>
      </c>
      <c r="B112" s="52">
        <f t="shared" si="1"/>
      </c>
      <c r="C112" s="53"/>
      <c r="D112" s="54"/>
      <c r="E112" s="55"/>
      <c r="F112" s="56"/>
      <c r="G112" s="56"/>
      <c r="H112" s="56"/>
      <c r="I112" s="54"/>
      <c r="J112" s="57"/>
      <c r="K112" s="59"/>
      <c r="L112" s="54"/>
      <c r="M112" s="54"/>
      <c r="N112" s="54"/>
      <c r="O112" s="55"/>
      <c r="P112" s="54"/>
      <c r="Q112" s="58"/>
      <c r="R112" s="54"/>
      <c r="S112" s="54"/>
      <c r="T112" s="59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6"/>
      <c r="AH112" s="56"/>
      <c r="AI112" s="54"/>
      <c r="AJ112" s="54"/>
      <c r="AK112" s="54"/>
      <c r="AL112" s="56"/>
      <c r="AM112" s="56"/>
      <c r="AN112" s="54"/>
      <c r="AO112" s="56"/>
      <c r="AP112" s="54"/>
      <c r="AQ112" s="56"/>
      <c r="AR112" s="54"/>
      <c r="AS112" s="54"/>
      <c r="AT112" s="54"/>
      <c r="AU112" s="59"/>
      <c r="AV112" s="54"/>
      <c r="AW112" s="54"/>
      <c r="AX112" s="59"/>
      <c r="AY112" s="59"/>
      <c r="AZ112" s="59"/>
      <c r="BA112" s="60">
        <f>IFERROR(VLOOKUP(B112,'02_DS_Nhan_Viec'!B:L,5,0),"")</f>
      </c>
      <c r="BB112" s="54"/>
      <c r="BC112" s="61">
        <f t="array" ref="BC112">IF($B112="","",IF(IFERROR(INDEX('02_DS_Nhan_Viec'!$J:$J,MATCH($B112,'02_DS_Nhan_Viec'!$B:$B,0)),"")="","Đang theo dõi",IF(OR(IFERROR(INDEX('05_Theo_Doi_Gio_Cong_7_Ngay'!$R:$R,MATCH(IFERROR(INDEX('02_DS_Nhan_Viec'!$J:$J,MATCH($B112,'02_DS_Nhan_Viec'!$B:$B,0)),""),'05_Theo_Doi_Gio_Cong_7_Ngay'!$B:$B,0)),"")="",IFERROR(INDEX('05_Theo_Doi_Gio_Cong_7_Ngay'!$R:$R,MATCH(IFERROR(INDEX('02_DS_Nhan_Viec'!$J:$J,MATCH($B112,'02_DS_Nhan_Viec'!$B:$B,0)),""),'05_Theo_Doi_Gio_Cong_7_Ngay'!$B:$B,0)),0)=0),"Đang theo dõi",IFERROR(INDEX('06_DS_Chinh_Thuc'!$K:$K,MATCH(IFERROR(INDEX('05_Theo_Doi_Gio_Cong_7_Ngay'!$R:$R,MATCH(IFERROR(INDEX('02_DS_Nhan_Viec'!$J:$J,MATCH($B112,'02_DS_Nhan_Viec'!$B:$B,0)),""),'05_Theo_Doi_Gio_Cong_7_Ngay'!$B:$B,0)),0),'06_DS_Chinh_Thuc'!$B:$B,0)),"Đang theo dõi"))))</f>
      </c>
    </row>
    <row r="113" ht="14.25" customHeight="1" spans="1:55" x14ac:dyDescent="0.25">
      <c r="A113" s="52">
        <f t="shared" si="0"/>
      </c>
      <c r="B113" s="52">
        <f t="shared" si="1"/>
      </c>
      <c r="C113" s="53"/>
      <c r="D113" s="54"/>
      <c r="E113" s="55"/>
      <c r="F113" s="56"/>
      <c r="G113" s="56"/>
      <c r="H113" s="56"/>
      <c r="I113" s="54"/>
      <c r="J113" s="57"/>
      <c r="K113" s="59"/>
      <c r="L113" s="54"/>
      <c r="M113" s="54"/>
      <c r="N113" s="54"/>
      <c r="O113" s="55"/>
      <c r="P113" s="54"/>
      <c r="Q113" s="58"/>
      <c r="R113" s="54"/>
      <c r="S113" s="54"/>
      <c r="T113" s="59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6"/>
      <c r="AH113" s="56"/>
      <c r="AI113" s="54"/>
      <c r="AJ113" s="54"/>
      <c r="AK113" s="54"/>
      <c r="AL113" s="56"/>
      <c r="AM113" s="56"/>
      <c r="AN113" s="54"/>
      <c r="AO113" s="56"/>
      <c r="AP113" s="54"/>
      <c r="AQ113" s="56"/>
      <c r="AR113" s="54"/>
      <c r="AS113" s="54"/>
      <c r="AT113" s="54"/>
      <c r="AU113" s="59"/>
      <c r="AV113" s="54"/>
      <c r="AW113" s="54"/>
      <c r="AX113" s="59"/>
      <c r="AY113" s="59"/>
      <c r="AZ113" s="59"/>
      <c r="BA113" s="60">
        <f>IFERROR(VLOOKUP(B113,'02_DS_Nhan_Viec'!B:L,5,0),"")</f>
      </c>
      <c r="BB113" s="54"/>
      <c r="BC113" s="61">
        <f t="array" ref="BC113">IF($B113="","",IF(IFERROR(INDEX('02_DS_Nhan_Viec'!$J:$J,MATCH($B113,'02_DS_Nhan_Viec'!$B:$B,0)),"")="","Đang theo dõi",IF(OR(IFERROR(INDEX('05_Theo_Doi_Gio_Cong_7_Ngay'!$R:$R,MATCH(IFERROR(INDEX('02_DS_Nhan_Viec'!$J:$J,MATCH($B113,'02_DS_Nhan_Viec'!$B:$B,0)),""),'05_Theo_Doi_Gio_Cong_7_Ngay'!$B:$B,0)),"")="",IFERROR(INDEX('05_Theo_Doi_Gio_Cong_7_Ngay'!$R:$R,MATCH(IFERROR(INDEX('02_DS_Nhan_Viec'!$J:$J,MATCH($B113,'02_DS_Nhan_Viec'!$B:$B,0)),""),'05_Theo_Doi_Gio_Cong_7_Ngay'!$B:$B,0)),0)=0),"Đang theo dõi",IFERROR(INDEX('06_DS_Chinh_Thuc'!$K:$K,MATCH(IFERROR(INDEX('05_Theo_Doi_Gio_Cong_7_Ngay'!$R:$R,MATCH(IFERROR(INDEX('02_DS_Nhan_Viec'!$J:$J,MATCH($B113,'02_DS_Nhan_Viec'!$B:$B,0)),""),'05_Theo_Doi_Gio_Cong_7_Ngay'!$B:$B,0)),0),'06_DS_Chinh_Thuc'!$B:$B,0)),"Đang theo dõi"))))</f>
      </c>
    </row>
    <row r="114" ht="14.25" customHeight="1" spans="1:55" x14ac:dyDescent="0.25">
      <c r="A114" s="52">
        <f t="shared" si="0"/>
      </c>
      <c r="B114" s="52">
        <f t="shared" si="1"/>
      </c>
      <c r="C114" s="53"/>
      <c r="D114" s="54"/>
      <c r="E114" s="55"/>
      <c r="F114" s="56"/>
      <c r="G114" s="56"/>
      <c r="H114" s="56"/>
      <c r="I114" s="54"/>
      <c r="J114" s="57"/>
      <c r="K114" s="59"/>
      <c r="L114" s="54"/>
      <c r="M114" s="54"/>
      <c r="N114" s="54"/>
      <c r="O114" s="55"/>
      <c r="P114" s="54"/>
      <c r="Q114" s="58"/>
      <c r="R114" s="54"/>
      <c r="S114" s="54"/>
      <c r="T114" s="59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6"/>
      <c r="AH114" s="56"/>
      <c r="AI114" s="54"/>
      <c r="AJ114" s="54"/>
      <c r="AK114" s="54"/>
      <c r="AL114" s="56"/>
      <c r="AM114" s="56"/>
      <c r="AN114" s="54"/>
      <c r="AO114" s="56"/>
      <c r="AP114" s="54"/>
      <c r="AQ114" s="56"/>
      <c r="AR114" s="54"/>
      <c r="AS114" s="54"/>
      <c r="AT114" s="54"/>
      <c r="AU114" s="59"/>
      <c r="AV114" s="54"/>
      <c r="AW114" s="54"/>
      <c r="AX114" s="59"/>
      <c r="AY114" s="59"/>
      <c r="AZ114" s="59"/>
      <c r="BA114" s="60">
        <f>IFERROR(VLOOKUP(B114,'02_DS_Nhan_Viec'!B:L,5,0),"")</f>
      </c>
      <c r="BB114" s="54"/>
      <c r="BC114" s="61">
        <f t="array" ref="BC114">IF($B114="","",IF(IFERROR(INDEX('02_DS_Nhan_Viec'!$J:$J,MATCH($B114,'02_DS_Nhan_Viec'!$B:$B,0)),"")="","Đang theo dõi",IF(OR(IFERROR(INDEX('05_Theo_Doi_Gio_Cong_7_Ngay'!$R:$R,MATCH(IFERROR(INDEX('02_DS_Nhan_Viec'!$J:$J,MATCH($B114,'02_DS_Nhan_Viec'!$B:$B,0)),""),'05_Theo_Doi_Gio_Cong_7_Ngay'!$B:$B,0)),"")="",IFERROR(INDEX('05_Theo_Doi_Gio_Cong_7_Ngay'!$R:$R,MATCH(IFERROR(INDEX('02_DS_Nhan_Viec'!$J:$J,MATCH($B114,'02_DS_Nhan_Viec'!$B:$B,0)),""),'05_Theo_Doi_Gio_Cong_7_Ngay'!$B:$B,0)),0)=0),"Đang theo dõi",IFERROR(INDEX('06_DS_Chinh_Thuc'!$K:$K,MATCH(IFERROR(INDEX('05_Theo_Doi_Gio_Cong_7_Ngay'!$R:$R,MATCH(IFERROR(INDEX('02_DS_Nhan_Viec'!$J:$J,MATCH($B114,'02_DS_Nhan_Viec'!$B:$B,0)),""),'05_Theo_Doi_Gio_Cong_7_Ngay'!$B:$B,0)),0),'06_DS_Chinh_Thuc'!$B:$B,0)),"Đang theo dõi"))))</f>
      </c>
    </row>
    <row r="115" ht="14.25" customHeight="1" spans="1:55" x14ac:dyDescent="0.25">
      <c r="A115" s="52">
        <f t="shared" si="0"/>
      </c>
      <c r="B115" s="52">
        <f t="shared" si="1"/>
      </c>
      <c r="C115" s="53"/>
      <c r="D115" s="54"/>
      <c r="E115" s="55"/>
      <c r="F115" s="56"/>
      <c r="G115" s="56"/>
      <c r="H115" s="56"/>
      <c r="I115" s="54"/>
      <c r="J115" s="57"/>
      <c r="K115" s="59"/>
      <c r="L115" s="54"/>
      <c r="M115" s="54"/>
      <c r="N115" s="54"/>
      <c r="O115" s="55"/>
      <c r="P115" s="54"/>
      <c r="Q115" s="58"/>
      <c r="R115" s="54"/>
      <c r="S115" s="54"/>
      <c r="T115" s="59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6"/>
      <c r="AH115" s="56"/>
      <c r="AI115" s="54"/>
      <c r="AJ115" s="54"/>
      <c r="AK115" s="54"/>
      <c r="AL115" s="56"/>
      <c r="AM115" s="56"/>
      <c r="AN115" s="54"/>
      <c r="AO115" s="56"/>
      <c r="AP115" s="54"/>
      <c r="AQ115" s="56"/>
      <c r="AR115" s="54"/>
      <c r="AS115" s="54"/>
      <c r="AT115" s="54"/>
      <c r="AU115" s="59"/>
      <c r="AV115" s="54"/>
      <c r="AW115" s="54"/>
      <c r="AX115" s="59"/>
      <c r="AY115" s="59"/>
      <c r="AZ115" s="59"/>
      <c r="BA115" s="60">
        <f>IFERROR(VLOOKUP(B115,'02_DS_Nhan_Viec'!B:L,5,0),"")</f>
      </c>
      <c r="BB115" s="54"/>
      <c r="BC115" s="61">
        <f t="array" ref="BC115">IF($B115="","",IF(IFERROR(INDEX('02_DS_Nhan_Viec'!$J:$J,MATCH($B115,'02_DS_Nhan_Viec'!$B:$B,0)),"")="","Đang theo dõi",IF(OR(IFERROR(INDEX('05_Theo_Doi_Gio_Cong_7_Ngay'!$R:$R,MATCH(IFERROR(INDEX('02_DS_Nhan_Viec'!$J:$J,MATCH($B115,'02_DS_Nhan_Viec'!$B:$B,0)),""),'05_Theo_Doi_Gio_Cong_7_Ngay'!$B:$B,0)),"")="",IFERROR(INDEX('05_Theo_Doi_Gio_Cong_7_Ngay'!$R:$R,MATCH(IFERROR(INDEX('02_DS_Nhan_Viec'!$J:$J,MATCH($B115,'02_DS_Nhan_Viec'!$B:$B,0)),""),'05_Theo_Doi_Gio_Cong_7_Ngay'!$B:$B,0)),0)=0),"Đang theo dõi",IFERROR(INDEX('06_DS_Chinh_Thuc'!$K:$K,MATCH(IFERROR(INDEX('05_Theo_Doi_Gio_Cong_7_Ngay'!$R:$R,MATCH(IFERROR(INDEX('02_DS_Nhan_Viec'!$J:$J,MATCH($B115,'02_DS_Nhan_Viec'!$B:$B,0)),""),'05_Theo_Doi_Gio_Cong_7_Ngay'!$B:$B,0)),0),'06_DS_Chinh_Thuc'!$B:$B,0)),"Đang theo dõi"))))</f>
      </c>
    </row>
    <row r="116" ht="14.25" customHeight="1" spans="1:55" x14ac:dyDescent="0.25">
      <c r="A116" s="52">
        <f t="shared" si="0"/>
      </c>
      <c r="B116" s="52">
        <f t="shared" si="1"/>
      </c>
      <c r="C116" s="53"/>
      <c r="D116" s="54"/>
      <c r="E116" s="55"/>
      <c r="F116" s="56"/>
      <c r="G116" s="56"/>
      <c r="H116" s="56"/>
      <c r="I116" s="54"/>
      <c r="J116" s="57"/>
      <c r="K116" s="59"/>
      <c r="L116" s="54"/>
      <c r="M116" s="54"/>
      <c r="N116" s="54"/>
      <c r="O116" s="55"/>
      <c r="P116" s="54"/>
      <c r="Q116" s="58"/>
      <c r="R116" s="54"/>
      <c r="S116" s="54"/>
      <c r="T116" s="59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6"/>
      <c r="AH116" s="56"/>
      <c r="AI116" s="54"/>
      <c r="AJ116" s="54"/>
      <c r="AK116" s="54"/>
      <c r="AL116" s="56"/>
      <c r="AM116" s="56"/>
      <c r="AN116" s="54"/>
      <c r="AO116" s="56"/>
      <c r="AP116" s="54"/>
      <c r="AQ116" s="56"/>
      <c r="AR116" s="54"/>
      <c r="AS116" s="54"/>
      <c r="AT116" s="54"/>
      <c r="AU116" s="59"/>
      <c r="AV116" s="54"/>
      <c r="AW116" s="54"/>
      <c r="AX116" s="59"/>
      <c r="AY116" s="59"/>
      <c r="AZ116" s="59"/>
      <c r="BA116" s="60">
        <f>IFERROR(VLOOKUP(B116,'02_DS_Nhan_Viec'!B:L,5,0),"")</f>
      </c>
      <c r="BB116" s="54"/>
      <c r="BC116" s="61">
        <f t="array" ref="BC116">IF($B116="","",IF(IFERROR(INDEX('02_DS_Nhan_Viec'!$J:$J,MATCH($B116,'02_DS_Nhan_Viec'!$B:$B,0)),"")="","Đang theo dõi",IF(OR(IFERROR(INDEX('05_Theo_Doi_Gio_Cong_7_Ngay'!$R:$R,MATCH(IFERROR(INDEX('02_DS_Nhan_Viec'!$J:$J,MATCH($B116,'02_DS_Nhan_Viec'!$B:$B,0)),""),'05_Theo_Doi_Gio_Cong_7_Ngay'!$B:$B,0)),"")="",IFERROR(INDEX('05_Theo_Doi_Gio_Cong_7_Ngay'!$R:$R,MATCH(IFERROR(INDEX('02_DS_Nhan_Viec'!$J:$J,MATCH($B116,'02_DS_Nhan_Viec'!$B:$B,0)),""),'05_Theo_Doi_Gio_Cong_7_Ngay'!$B:$B,0)),0)=0),"Đang theo dõi",IFERROR(INDEX('06_DS_Chinh_Thuc'!$K:$K,MATCH(IFERROR(INDEX('05_Theo_Doi_Gio_Cong_7_Ngay'!$R:$R,MATCH(IFERROR(INDEX('02_DS_Nhan_Viec'!$J:$J,MATCH($B116,'02_DS_Nhan_Viec'!$B:$B,0)),""),'05_Theo_Doi_Gio_Cong_7_Ngay'!$B:$B,0)),0),'06_DS_Chinh_Thuc'!$B:$B,0)),"Đang theo dõi"))))</f>
      </c>
    </row>
    <row r="117" ht="14.25" customHeight="1" spans="1:55" x14ac:dyDescent="0.25">
      <c r="A117" s="52">
        <f t="shared" si="0"/>
      </c>
      <c r="B117" s="52">
        <f t="shared" si="1"/>
      </c>
      <c r="C117" s="53"/>
      <c r="D117" s="54"/>
      <c r="E117" s="55"/>
      <c r="F117" s="56"/>
      <c r="G117" s="56"/>
      <c r="H117" s="56"/>
      <c r="I117" s="54"/>
      <c r="J117" s="57"/>
      <c r="K117" s="59"/>
      <c r="L117" s="54"/>
      <c r="M117" s="54"/>
      <c r="N117" s="54"/>
      <c r="O117" s="55"/>
      <c r="P117" s="54"/>
      <c r="Q117" s="58"/>
      <c r="R117" s="54"/>
      <c r="S117" s="54"/>
      <c r="T117" s="59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6"/>
      <c r="AH117" s="56"/>
      <c r="AI117" s="54"/>
      <c r="AJ117" s="54"/>
      <c r="AK117" s="54"/>
      <c r="AL117" s="56"/>
      <c r="AM117" s="56"/>
      <c r="AN117" s="54"/>
      <c r="AO117" s="56"/>
      <c r="AP117" s="54"/>
      <c r="AQ117" s="56"/>
      <c r="AR117" s="54"/>
      <c r="AS117" s="54"/>
      <c r="AT117" s="54"/>
      <c r="AU117" s="59"/>
      <c r="AV117" s="54"/>
      <c r="AW117" s="54"/>
      <c r="AX117" s="59"/>
      <c r="AY117" s="59"/>
      <c r="AZ117" s="59"/>
      <c r="BA117" s="60">
        <f>IFERROR(VLOOKUP(B117,'02_DS_Nhan_Viec'!B:L,5,0),"")</f>
      </c>
      <c r="BB117" s="54"/>
      <c r="BC117" s="61">
        <f t="array" ref="BC117">IF($B117="","",IF(IFERROR(INDEX('02_DS_Nhan_Viec'!$J:$J,MATCH($B117,'02_DS_Nhan_Viec'!$B:$B,0)),"")="","Đang theo dõi",IF(OR(IFERROR(INDEX('05_Theo_Doi_Gio_Cong_7_Ngay'!$R:$R,MATCH(IFERROR(INDEX('02_DS_Nhan_Viec'!$J:$J,MATCH($B117,'02_DS_Nhan_Viec'!$B:$B,0)),""),'05_Theo_Doi_Gio_Cong_7_Ngay'!$B:$B,0)),"")="",IFERROR(INDEX('05_Theo_Doi_Gio_Cong_7_Ngay'!$R:$R,MATCH(IFERROR(INDEX('02_DS_Nhan_Viec'!$J:$J,MATCH($B117,'02_DS_Nhan_Viec'!$B:$B,0)),""),'05_Theo_Doi_Gio_Cong_7_Ngay'!$B:$B,0)),0)=0),"Đang theo dõi",IFERROR(INDEX('06_DS_Chinh_Thuc'!$K:$K,MATCH(IFERROR(INDEX('05_Theo_Doi_Gio_Cong_7_Ngay'!$R:$R,MATCH(IFERROR(INDEX('02_DS_Nhan_Viec'!$J:$J,MATCH($B117,'02_DS_Nhan_Viec'!$B:$B,0)),""),'05_Theo_Doi_Gio_Cong_7_Ngay'!$B:$B,0)),0),'06_DS_Chinh_Thuc'!$B:$B,0)),"Đang theo dõi"))))</f>
      </c>
    </row>
    <row r="118" ht="14.25" customHeight="1" spans="1:55" x14ac:dyDescent="0.25">
      <c r="A118" s="52">
        <f t="shared" si="0"/>
      </c>
      <c r="B118" s="52">
        <f t="shared" si="1"/>
      </c>
      <c r="C118" s="53"/>
      <c r="D118" s="54"/>
      <c r="E118" s="55"/>
      <c r="F118" s="56"/>
      <c r="G118" s="56"/>
      <c r="H118" s="56"/>
      <c r="I118" s="54"/>
      <c r="J118" s="57"/>
      <c r="K118" s="59"/>
      <c r="L118" s="54"/>
      <c r="M118" s="54"/>
      <c r="N118" s="54"/>
      <c r="O118" s="55"/>
      <c r="P118" s="54"/>
      <c r="Q118" s="58"/>
      <c r="R118" s="54"/>
      <c r="S118" s="54"/>
      <c r="T118" s="59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6"/>
      <c r="AH118" s="56"/>
      <c r="AI118" s="54"/>
      <c r="AJ118" s="54"/>
      <c r="AK118" s="54"/>
      <c r="AL118" s="56"/>
      <c r="AM118" s="56"/>
      <c r="AN118" s="54"/>
      <c r="AO118" s="56"/>
      <c r="AP118" s="54"/>
      <c r="AQ118" s="56"/>
      <c r="AR118" s="54"/>
      <c r="AS118" s="54"/>
      <c r="AT118" s="54"/>
      <c r="AU118" s="59"/>
      <c r="AV118" s="54"/>
      <c r="AW118" s="54"/>
      <c r="AX118" s="59"/>
      <c r="AY118" s="59"/>
      <c r="AZ118" s="59"/>
      <c r="BA118" s="60">
        <f>IFERROR(VLOOKUP(B118,'02_DS_Nhan_Viec'!B:L,5,0),"")</f>
      </c>
      <c r="BB118" s="54"/>
      <c r="BC118" s="61">
        <f t="array" ref="BC118">IF($B118="","",IF(IFERROR(INDEX('02_DS_Nhan_Viec'!$J:$J,MATCH($B118,'02_DS_Nhan_Viec'!$B:$B,0)),"")="","Đang theo dõi",IF(OR(IFERROR(INDEX('05_Theo_Doi_Gio_Cong_7_Ngay'!$R:$R,MATCH(IFERROR(INDEX('02_DS_Nhan_Viec'!$J:$J,MATCH($B118,'02_DS_Nhan_Viec'!$B:$B,0)),""),'05_Theo_Doi_Gio_Cong_7_Ngay'!$B:$B,0)),"")="",IFERROR(INDEX('05_Theo_Doi_Gio_Cong_7_Ngay'!$R:$R,MATCH(IFERROR(INDEX('02_DS_Nhan_Viec'!$J:$J,MATCH($B118,'02_DS_Nhan_Viec'!$B:$B,0)),""),'05_Theo_Doi_Gio_Cong_7_Ngay'!$B:$B,0)),0)=0),"Đang theo dõi",IFERROR(INDEX('06_DS_Chinh_Thuc'!$K:$K,MATCH(IFERROR(INDEX('05_Theo_Doi_Gio_Cong_7_Ngay'!$R:$R,MATCH(IFERROR(INDEX('02_DS_Nhan_Viec'!$J:$J,MATCH($B118,'02_DS_Nhan_Viec'!$B:$B,0)),""),'05_Theo_Doi_Gio_Cong_7_Ngay'!$B:$B,0)),0),'06_DS_Chinh_Thuc'!$B:$B,0)),"Đang theo dõi"))))</f>
      </c>
    </row>
    <row r="119" ht="14.25" customHeight="1" spans="1:55" x14ac:dyDescent="0.25">
      <c r="A119" s="52">
        <f t="shared" si="0"/>
      </c>
      <c r="B119" s="52">
        <f t="shared" si="1"/>
      </c>
      <c r="C119" s="53"/>
      <c r="D119" s="54"/>
      <c r="E119" s="55"/>
      <c r="F119" s="56"/>
      <c r="G119" s="56"/>
      <c r="H119" s="56"/>
      <c r="I119" s="54"/>
      <c r="J119" s="57"/>
      <c r="K119" s="59"/>
      <c r="L119" s="54"/>
      <c r="M119" s="54"/>
      <c r="N119" s="54"/>
      <c r="O119" s="55"/>
      <c r="P119" s="54"/>
      <c r="Q119" s="58"/>
      <c r="R119" s="54"/>
      <c r="S119" s="54"/>
      <c r="T119" s="59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6"/>
      <c r="AH119" s="56"/>
      <c r="AI119" s="54"/>
      <c r="AJ119" s="54"/>
      <c r="AK119" s="54"/>
      <c r="AL119" s="56"/>
      <c r="AM119" s="56"/>
      <c r="AN119" s="54"/>
      <c r="AO119" s="56"/>
      <c r="AP119" s="54"/>
      <c r="AQ119" s="56"/>
      <c r="AR119" s="54"/>
      <c r="AS119" s="54"/>
      <c r="AT119" s="54"/>
      <c r="AU119" s="59"/>
      <c r="AV119" s="54"/>
      <c r="AW119" s="54"/>
      <c r="AX119" s="59"/>
      <c r="AY119" s="59"/>
      <c r="AZ119" s="59"/>
      <c r="BA119" s="60">
        <f>IFERROR(VLOOKUP(B119,'02_DS_Nhan_Viec'!B:L,5,0),"")</f>
      </c>
      <c r="BB119" s="54"/>
      <c r="BC119" s="61">
        <f t="array" ref="BC119">IF($B119="","",IF(IFERROR(INDEX('02_DS_Nhan_Viec'!$J:$J,MATCH($B119,'02_DS_Nhan_Viec'!$B:$B,0)),"")="","Đang theo dõi",IF(OR(IFERROR(INDEX('05_Theo_Doi_Gio_Cong_7_Ngay'!$R:$R,MATCH(IFERROR(INDEX('02_DS_Nhan_Viec'!$J:$J,MATCH($B119,'02_DS_Nhan_Viec'!$B:$B,0)),""),'05_Theo_Doi_Gio_Cong_7_Ngay'!$B:$B,0)),"")="",IFERROR(INDEX('05_Theo_Doi_Gio_Cong_7_Ngay'!$R:$R,MATCH(IFERROR(INDEX('02_DS_Nhan_Viec'!$J:$J,MATCH($B119,'02_DS_Nhan_Viec'!$B:$B,0)),""),'05_Theo_Doi_Gio_Cong_7_Ngay'!$B:$B,0)),0)=0),"Đang theo dõi",IFERROR(INDEX('06_DS_Chinh_Thuc'!$K:$K,MATCH(IFERROR(INDEX('05_Theo_Doi_Gio_Cong_7_Ngay'!$R:$R,MATCH(IFERROR(INDEX('02_DS_Nhan_Viec'!$J:$J,MATCH($B119,'02_DS_Nhan_Viec'!$B:$B,0)),""),'05_Theo_Doi_Gio_Cong_7_Ngay'!$B:$B,0)),0),'06_DS_Chinh_Thuc'!$B:$B,0)),"Đang theo dõi"))))</f>
      </c>
    </row>
    <row r="120" ht="14.25" customHeight="1" spans="1:55" x14ac:dyDescent="0.25">
      <c r="A120" s="52">
        <f t="shared" si="0"/>
      </c>
      <c r="B120" s="52">
        <f t="shared" si="1"/>
      </c>
      <c r="C120" s="53"/>
      <c r="D120" s="54"/>
      <c r="E120" s="55"/>
      <c r="F120" s="56"/>
      <c r="G120" s="56"/>
      <c r="H120" s="56"/>
      <c r="I120" s="54"/>
      <c r="J120" s="57"/>
      <c r="K120" s="59"/>
      <c r="L120" s="54"/>
      <c r="M120" s="54"/>
      <c r="N120" s="54"/>
      <c r="O120" s="55"/>
      <c r="P120" s="54"/>
      <c r="Q120" s="58"/>
      <c r="R120" s="54"/>
      <c r="S120" s="54"/>
      <c r="T120" s="59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6"/>
      <c r="AH120" s="56"/>
      <c r="AI120" s="54"/>
      <c r="AJ120" s="54"/>
      <c r="AK120" s="54"/>
      <c r="AL120" s="56"/>
      <c r="AM120" s="56"/>
      <c r="AN120" s="54"/>
      <c r="AO120" s="56"/>
      <c r="AP120" s="54"/>
      <c r="AQ120" s="56"/>
      <c r="AR120" s="54"/>
      <c r="AS120" s="54"/>
      <c r="AT120" s="54"/>
      <c r="AU120" s="59"/>
      <c r="AV120" s="54"/>
      <c r="AW120" s="54"/>
      <c r="AX120" s="59"/>
      <c r="AY120" s="59"/>
      <c r="AZ120" s="59"/>
      <c r="BA120" s="60">
        <f>IFERROR(VLOOKUP(B120,'02_DS_Nhan_Viec'!B:L,5,0),"")</f>
      </c>
      <c r="BB120" s="54"/>
      <c r="BC120" s="61">
        <f t="array" ref="BC120">IF($B120="","",IF(IFERROR(INDEX('02_DS_Nhan_Viec'!$J:$J,MATCH($B120,'02_DS_Nhan_Viec'!$B:$B,0)),"")="","Đang theo dõi",IF(OR(IFERROR(INDEX('05_Theo_Doi_Gio_Cong_7_Ngay'!$R:$R,MATCH(IFERROR(INDEX('02_DS_Nhan_Viec'!$J:$J,MATCH($B120,'02_DS_Nhan_Viec'!$B:$B,0)),""),'05_Theo_Doi_Gio_Cong_7_Ngay'!$B:$B,0)),"")="",IFERROR(INDEX('05_Theo_Doi_Gio_Cong_7_Ngay'!$R:$R,MATCH(IFERROR(INDEX('02_DS_Nhan_Viec'!$J:$J,MATCH($B120,'02_DS_Nhan_Viec'!$B:$B,0)),""),'05_Theo_Doi_Gio_Cong_7_Ngay'!$B:$B,0)),0)=0),"Đang theo dõi",IFERROR(INDEX('06_DS_Chinh_Thuc'!$K:$K,MATCH(IFERROR(INDEX('05_Theo_Doi_Gio_Cong_7_Ngay'!$R:$R,MATCH(IFERROR(INDEX('02_DS_Nhan_Viec'!$J:$J,MATCH($B120,'02_DS_Nhan_Viec'!$B:$B,0)),""),'05_Theo_Doi_Gio_Cong_7_Ngay'!$B:$B,0)),0),'06_DS_Chinh_Thuc'!$B:$B,0)),"Đang theo dõi"))))</f>
      </c>
    </row>
    <row r="121" ht="14.25" customHeight="1" spans="1:55" x14ac:dyDescent="0.25">
      <c r="A121" s="52">
        <f t="shared" si="0"/>
      </c>
      <c r="B121" s="52">
        <f t="shared" si="1"/>
      </c>
      <c r="C121" s="53"/>
      <c r="D121" s="54"/>
      <c r="E121" s="55"/>
      <c r="F121" s="56"/>
      <c r="G121" s="56"/>
      <c r="H121" s="56"/>
      <c r="I121" s="54"/>
      <c r="J121" s="57"/>
      <c r="K121" s="59"/>
      <c r="L121" s="54"/>
      <c r="M121" s="54"/>
      <c r="N121" s="54"/>
      <c r="O121" s="55"/>
      <c r="P121" s="54"/>
      <c r="Q121" s="58"/>
      <c r="R121" s="54"/>
      <c r="S121" s="54"/>
      <c r="T121" s="59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6"/>
      <c r="AH121" s="56"/>
      <c r="AI121" s="54"/>
      <c r="AJ121" s="54"/>
      <c r="AK121" s="54"/>
      <c r="AL121" s="56"/>
      <c r="AM121" s="56"/>
      <c r="AN121" s="54"/>
      <c r="AO121" s="56"/>
      <c r="AP121" s="54"/>
      <c r="AQ121" s="56"/>
      <c r="AR121" s="54"/>
      <c r="AS121" s="54"/>
      <c r="AT121" s="54"/>
      <c r="AU121" s="59"/>
      <c r="AV121" s="54"/>
      <c r="AW121" s="54"/>
      <c r="AX121" s="59"/>
      <c r="AY121" s="59"/>
      <c r="AZ121" s="59"/>
      <c r="BA121" s="60">
        <f>IFERROR(VLOOKUP(B121,'02_DS_Nhan_Viec'!B:L,5,0),"")</f>
      </c>
      <c r="BB121" s="54"/>
      <c r="BC121" s="61">
        <f t="array" ref="BC121">IF($B121="","",IF(IFERROR(INDEX('02_DS_Nhan_Viec'!$J:$J,MATCH($B121,'02_DS_Nhan_Viec'!$B:$B,0)),"")="","Đang theo dõi",IF(OR(IFERROR(INDEX('05_Theo_Doi_Gio_Cong_7_Ngay'!$R:$R,MATCH(IFERROR(INDEX('02_DS_Nhan_Viec'!$J:$J,MATCH($B121,'02_DS_Nhan_Viec'!$B:$B,0)),""),'05_Theo_Doi_Gio_Cong_7_Ngay'!$B:$B,0)),"")="",IFERROR(INDEX('05_Theo_Doi_Gio_Cong_7_Ngay'!$R:$R,MATCH(IFERROR(INDEX('02_DS_Nhan_Viec'!$J:$J,MATCH($B121,'02_DS_Nhan_Viec'!$B:$B,0)),""),'05_Theo_Doi_Gio_Cong_7_Ngay'!$B:$B,0)),0)=0),"Đang theo dõi",IFERROR(INDEX('06_DS_Chinh_Thuc'!$K:$K,MATCH(IFERROR(INDEX('05_Theo_Doi_Gio_Cong_7_Ngay'!$R:$R,MATCH(IFERROR(INDEX('02_DS_Nhan_Viec'!$J:$J,MATCH($B121,'02_DS_Nhan_Viec'!$B:$B,0)),""),'05_Theo_Doi_Gio_Cong_7_Ngay'!$B:$B,0)),0),'06_DS_Chinh_Thuc'!$B:$B,0)),"Đang theo dõi"))))</f>
      </c>
    </row>
    <row r="122" ht="14.25" customHeight="1" spans="1:55" x14ac:dyDescent="0.25">
      <c r="A122" s="52">
        <f t="shared" si="0"/>
      </c>
      <c r="B122" s="52">
        <f t="shared" si="1"/>
      </c>
      <c r="C122" s="53"/>
      <c r="D122" s="54"/>
      <c r="E122" s="55"/>
      <c r="F122" s="56"/>
      <c r="G122" s="56"/>
      <c r="H122" s="56"/>
      <c r="I122" s="54"/>
      <c r="J122" s="57"/>
      <c r="K122" s="59"/>
      <c r="L122" s="54"/>
      <c r="M122" s="54"/>
      <c r="N122" s="54"/>
      <c r="O122" s="55"/>
      <c r="P122" s="54"/>
      <c r="Q122" s="58"/>
      <c r="R122" s="54"/>
      <c r="S122" s="54"/>
      <c r="T122" s="59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6"/>
      <c r="AH122" s="56"/>
      <c r="AI122" s="54"/>
      <c r="AJ122" s="54"/>
      <c r="AK122" s="54"/>
      <c r="AL122" s="56"/>
      <c r="AM122" s="56"/>
      <c r="AN122" s="54"/>
      <c r="AO122" s="56"/>
      <c r="AP122" s="54"/>
      <c r="AQ122" s="56"/>
      <c r="AR122" s="54"/>
      <c r="AS122" s="54"/>
      <c r="AT122" s="54"/>
      <c r="AU122" s="59"/>
      <c r="AV122" s="54"/>
      <c r="AW122" s="54"/>
      <c r="AX122" s="59"/>
      <c r="AY122" s="59"/>
      <c r="AZ122" s="59"/>
      <c r="BA122" s="60">
        <f>IFERROR(VLOOKUP(B122,'02_DS_Nhan_Viec'!B:L,5,0),"")</f>
      </c>
      <c r="BB122" s="54"/>
      <c r="BC122" s="61">
        <f t="array" ref="BC122">IF($B122="","",IF(IFERROR(INDEX('02_DS_Nhan_Viec'!$J:$J,MATCH($B122,'02_DS_Nhan_Viec'!$B:$B,0)),"")="","Đang theo dõi",IF(OR(IFERROR(INDEX('05_Theo_Doi_Gio_Cong_7_Ngay'!$R:$R,MATCH(IFERROR(INDEX('02_DS_Nhan_Viec'!$J:$J,MATCH($B122,'02_DS_Nhan_Viec'!$B:$B,0)),""),'05_Theo_Doi_Gio_Cong_7_Ngay'!$B:$B,0)),"")="",IFERROR(INDEX('05_Theo_Doi_Gio_Cong_7_Ngay'!$R:$R,MATCH(IFERROR(INDEX('02_DS_Nhan_Viec'!$J:$J,MATCH($B122,'02_DS_Nhan_Viec'!$B:$B,0)),""),'05_Theo_Doi_Gio_Cong_7_Ngay'!$B:$B,0)),0)=0),"Đang theo dõi",IFERROR(INDEX('06_DS_Chinh_Thuc'!$K:$K,MATCH(IFERROR(INDEX('05_Theo_Doi_Gio_Cong_7_Ngay'!$R:$R,MATCH(IFERROR(INDEX('02_DS_Nhan_Viec'!$J:$J,MATCH($B122,'02_DS_Nhan_Viec'!$B:$B,0)),""),'05_Theo_Doi_Gio_Cong_7_Ngay'!$B:$B,0)),0),'06_DS_Chinh_Thuc'!$B:$B,0)),"Đang theo dõi"))))</f>
      </c>
    </row>
    <row r="123" ht="14.25" customHeight="1" spans="1:55" x14ac:dyDescent="0.25">
      <c r="A123" s="52">
        <f t="shared" si="0"/>
      </c>
      <c r="B123" s="52">
        <f t="shared" si="1"/>
      </c>
      <c r="C123" s="53"/>
      <c r="D123" s="54"/>
      <c r="E123" s="55"/>
      <c r="F123" s="56"/>
      <c r="G123" s="56"/>
      <c r="H123" s="56"/>
      <c r="I123" s="54"/>
      <c r="J123" s="57"/>
      <c r="K123" s="59"/>
      <c r="L123" s="54"/>
      <c r="M123" s="54"/>
      <c r="N123" s="54"/>
      <c r="O123" s="55"/>
      <c r="P123" s="54"/>
      <c r="Q123" s="58"/>
      <c r="R123" s="54"/>
      <c r="S123" s="54"/>
      <c r="T123" s="59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6"/>
      <c r="AH123" s="56"/>
      <c r="AI123" s="54"/>
      <c r="AJ123" s="54"/>
      <c r="AK123" s="54"/>
      <c r="AL123" s="56"/>
      <c r="AM123" s="56"/>
      <c r="AN123" s="54"/>
      <c r="AO123" s="56"/>
      <c r="AP123" s="54"/>
      <c r="AQ123" s="56"/>
      <c r="AR123" s="54"/>
      <c r="AS123" s="54"/>
      <c r="AT123" s="54"/>
      <c r="AU123" s="59"/>
      <c r="AV123" s="54"/>
      <c r="AW123" s="54"/>
      <c r="AX123" s="59"/>
      <c r="AY123" s="59"/>
      <c r="AZ123" s="59"/>
      <c r="BA123" s="60">
        <f>IFERROR(VLOOKUP(B123,'02_DS_Nhan_Viec'!B:L,5,0),"")</f>
      </c>
      <c r="BB123" s="54"/>
      <c r="BC123" s="61">
        <f t="array" ref="BC123">IF($B123="","",IF(IFERROR(INDEX('02_DS_Nhan_Viec'!$J:$J,MATCH($B123,'02_DS_Nhan_Viec'!$B:$B,0)),"")="","Đang theo dõi",IF(OR(IFERROR(INDEX('05_Theo_Doi_Gio_Cong_7_Ngay'!$R:$R,MATCH(IFERROR(INDEX('02_DS_Nhan_Viec'!$J:$J,MATCH($B123,'02_DS_Nhan_Viec'!$B:$B,0)),""),'05_Theo_Doi_Gio_Cong_7_Ngay'!$B:$B,0)),"")="",IFERROR(INDEX('05_Theo_Doi_Gio_Cong_7_Ngay'!$R:$R,MATCH(IFERROR(INDEX('02_DS_Nhan_Viec'!$J:$J,MATCH($B123,'02_DS_Nhan_Viec'!$B:$B,0)),""),'05_Theo_Doi_Gio_Cong_7_Ngay'!$B:$B,0)),0)=0),"Đang theo dõi",IFERROR(INDEX('06_DS_Chinh_Thuc'!$K:$K,MATCH(IFERROR(INDEX('05_Theo_Doi_Gio_Cong_7_Ngay'!$R:$R,MATCH(IFERROR(INDEX('02_DS_Nhan_Viec'!$J:$J,MATCH($B123,'02_DS_Nhan_Viec'!$B:$B,0)),""),'05_Theo_Doi_Gio_Cong_7_Ngay'!$B:$B,0)),0),'06_DS_Chinh_Thuc'!$B:$B,0)),"Đang theo dõi"))))</f>
      </c>
    </row>
    <row r="124" ht="14.25" customHeight="1" spans="1:55" x14ac:dyDescent="0.25">
      <c r="A124" s="52">
        <f t="shared" si="0"/>
      </c>
      <c r="B124" s="52">
        <f t="shared" si="1"/>
      </c>
      <c r="C124" s="53"/>
      <c r="D124" s="54"/>
      <c r="E124" s="55"/>
      <c r="F124" s="56"/>
      <c r="G124" s="56"/>
      <c r="H124" s="56"/>
      <c r="I124" s="54"/>
      <c r="J124" s="57"/>
      <c r="K124" s="59"/>
      <c r="L124" s="54"/>
      <c r="M124" s="54"/>
      <c r="N124" s="54"/>
      <c r="O124" s="55"/>
      <c r="P124" s="54"/>
      <c r="Q124" s="58"/>
      <c r="R124" s="54"/>
      <c r="S124" s="54"/>
      <c r="T124" s="59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6"/>
      <c r="AH124" s="56"/>
      <c r="AI124" s="54"/>
      <c r="AJ124" s="54"/>
      <c r="AK124" s="54"/>
      <c r="AL124" s="56"/>
      <c r="AM124" s="56"/>
      <c r="AN124" s="54"/>
      <c r="AO124" s="56"/>
      <c r="AP124" s="54"/>
      <c r="AQ124" s="56"/>
      <c r="AR124" s="54"/>
      <c r="AS124" s="54"/>
      <c r="AT124" s="54"/>
      <c r="AU124" s="59"/>
      <c r="AV124" s="54"/>
      <c r="AW124" s="54"/>
      <c r="AX124" s="59"/>
      <c r="AY124" s="59"/>
      <c r="AZ124" s="59"/>
      <c r="BA124" s="60">
        <f>IFERROR(VLOOKUP(B124,'02_DS_Nhan_Viec'!B:L,5,0),"")</f>
      </c>
      <c r="BB124" s="54"/>
      <c r="BC124" s="61">
        <f t="array" ref="BC124">IF($B124="","",IF(IFERROR(INDEX('02_DS_Nhan_Viec'!$J:$J,MATCH($B124,'02_DS_Nhan_Viec'!$B:$B,0)),"")="","Đang theo dõi",IF(OR(IFERROR(INDEX('05_Theo_Doi_Gio_Cong_7_Ngay'!$R:$R,MATCH(IFERROR(INDEX('02_DS_Nhan_Viec'!$J:$J,MATCH($B124,'02_DS_Nhan_Viec'!$B:$B,0)),""),'05_Theo_Doi_Gio_Cong_7_Ngay'!$B:$B,0)),"")="",IFERROR(INDEX('05_Theo_Doi_Gio_Cong_7_Ngay'!$R:$R,MATCH(IFERROR(INDEX('02_DS_Nhan_Viec'!$J:$J,MATCH($B124,'02_DS_Nhan_Viec'!$B:$B,0)),""),'05_Theo_Doi_Gio_Cong_7_Ngay'!$B:$B,0)),0)=0),"Đang theo dõi",IFERROR(INDEX('06_DS_Chinh_Thuc'!$K:$K,MATCH(IFERROR(INDEX('05_Theo_Doi_Gio_Cong_7_Ngay'!$R:$R,MATCH(IFERROR(INDEX('02_DS_Nhan_Viec'!$J:$J,MATCH($B124,'02_DS_Nhan_Viec'!$B:$B,0)),""),'05_Theo_Doi_Gio_Cong_7_Ngay'!$B:$B,0)),0),'06_DS_Chinh_Thuc'!$B:$B,0)),"Đang theo dõi"))))</f>
      </c>
    </row>
    <row r="125" ht="14.25" customHeight="1" spans="1:55" x14ac:dyDescent="0.25">
      <c r="A125" s="52">
        <f t="shared" si="0"/>
      </c>
      <c r="B125" s="52">
        <f t="shared" si="1"/>
      </c>
      <c r="C125" s="53"/>
      <c r="D125" s="54"/>
      <c r="E125" s="55"/>
      <c r="F125" s="56"/>
      <c r="G125" s="56"/>
      <c r="H125" s="56"/>
      <c r="I125" s="54"/>
      <c r="J125" s="57"/>
      <c r="K125" s="59"/>
      <c r="L125" s="54"/>
      <c r="M125" s="54"/>
      <c r="N125" s="54"/>
      <c r="O125" s="55"/>
      <c r="P125" s="54"/>
      <c r="Q125" s="58"/>
      <c r="R125" s="54"/>
      <c r="S125" s="54"/>
      <c r="T125" s="59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6"/>
      <c r="AH125" s="56"/>
      <c r="AI125" s="54"/>
      <c r="AJ125" s="54"/>
      <c r="AK125" s="54"/>
      <c r="AL125" s="56"/>
      <c r="AM125" s="56"/>
      <c r="AN125" s="54"/>
      <c r="AO125" s="56"/>
      <c r="AP125" s="54"/>
      <c r="AQ125" s="56"/>
      <c r="AR125" s="54"/>
      <c r="AS125" s="54"/>
      <c r="AT125" s="54"/>
      <c r="AU125" s="59"/>
      <c r="AV125" s="54"/>
      <c r="AW125" s="54"/>
      <c r="AX125" s="59"/>
      <c r="AY125" s="59"/>
      <c r="AZ125" s="59"/>
      <c r="BA125" s="60">
        <f>IFERROR(VLOOKUP(B125,'02_DS_Nhan_Viec'!B:L,5,0),"")</f>
      </c>
      <c r="BB125" s="54"/>
      <c r="BC125" s="61">
        <f t="array" ref="BC125">IF($B125="","",IF(IFERROR(INDEX('02_DS_Nhan_Viec'!$J:$J,MATCH($B125,'02_DS_Nhan_Viec'!$B:$B,0)),"")="","Đang theo dõi",IF(OR(IFERROR(INDEX('05_Theo_Doi_Gio_Cong_7_Ngay'!$R:$R,MATCH(IFERROR(INDEX('02_DS_Nhan_Viec'!$J:$J,MATCH($B125,'02_DS_Nhan_Viec'!$B:$B,0)),""),'05_Theo_Doi_Gio_Cong_7_Ngay'!$B:$B,0)),"")="",IFERROR(INDEX('05_Theo_Doi_Gio_Cong_7_Ngay'!$R:$R,MATCH(IFERROR(INDEX('02_DS_Nhan_Viec'!$J:$J,MATCH($B125,'02_DS_Nhan_Viec'!$B:$B,0)),""),'05_Theo_Doi_Gio_Cong_7_Ngay'!$B:$B,0)),0)=0),"Đang theo dõi",IFERROR(INDEX('06_DS_Chinh_Thuc'!$K:$K,MATCH(IFERROR(INDEX('05_Theo_Doi_Gio_Cong_7_Ngay'!$R:$R,MATCH(IFERROR(INDEX('02_DS_Nhan_Viec'!$J:$J,MATCH($B125,'02_DS_Nhan_Viec'!$B:$B,0)),""),'05_Theo_Doi_Gio_Cong_7_Ngay'!$B:$B,0)),0),'06_DS_Chinh_Thuc'!$B:$B,0)),"Đang theo dõi"))))</f>
      </c>
    </row>
    <row r="126" ht="14.25" customHeight="1" spans="1:55" x14ac:dyDescent="0.25">
      <c r="A126" s="52">
        <f t="shared" si="0"/>
      </c>
      <c r="B126" s="52">
        <f t="shared" si="1"/>
      </c>
      <c r="C126" s="53"/>
      <c r="D126" s="54"/>
      <c r="E126" s="55"/>
      <c r="F126" s="56"/>
      <c r="G126" s="56"/>
      <c r="H126" s="56"/>
      <c r="I126" s="54"/>
      <c r="J126" s="57"/>
      <c r="K126" s="59"/>
      <c r="L126" s="54"/>
      <c r="M126" s="54"/>
      <c r="N126" s="54"/>
      <c r="O126" s="55"/>
      <c r="P126" s="54"/>
      <c r="Q126" s="58"/>
      <c r="R126" s="54"/>
      <c r="S126" s="54"/>
      <c r="T126" s="59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6"/>
      <c r="AH126" s="56"/>
      <c r="AI126" s="54"/>
      <c r="AJ126" s="54"/>
      <c r="AK126" s="54"/>
      <c r="AL126" s="56"/>
      <c r="AM126" s="56"/>
      <c r="AN126" s="54"/>
      <c r="AO126" s="56"/>
      <c r="AP126" s="54"/>
      <c r="AQ126" s="56"/>
      <c r="AR126" s="54"/>
      <c r="AS126" s="54"/>
      <c r="AT126" s="54"/>
      <c r="AU126" s="59"/>
      <c r="AV126" s="54"/>
      <c r="AW126" s="54"/>
      <c r="AX126" s="59"/>
      <c r="AY126" s="59"/>
      <c r="AZ126" s="59"/>
      <c r="BA126" s="60">
        <f>IFERROR(VLOOKUP(B126,'02_DS_Nhan_Viec'!B:L,5,0),"")</f>
      </c>
      <c r="BB126" s="54"/>
      <c r="BC126" s="61">
        <f t="array" ref="BC126">IF($B126="","",IF(IFERROR(INDEX('02_DS_Nhan_Viec'!$J:$J,MATCH($B126,'02_DS_Nhan_Viec'!$B:$B,0)),"")="","Đang theo dõi",IF(OR(IFERROR(INDEX('05_Theo_Doi_Gio_Cong_7_Ngay'!$R:$R,MATCH(IFERROR(INDEX('02_DS_Nhan_Viec'!$J:$J,MATCH($B126,'02_DS_Nhan_Viec'!$B:$B,0)),""),'05_Theo_Doi_Gio_Cong_7_Ngay'!$B:$B,0)),"")="",IFERROR(INDEX('05_Theo_Doi_Gio_Cong_7_Ngay'!$R:$R,MATCH(IFERROR(INDEX('02_DS_Nhan_Viec'!$J:$J,MATCH($B126,'02_DS_Nhan_Viec'!$B:$B,0)),""),'05_Theo_Doi_Gio_Cong_7_Ngay'!$B:$B,0)),0)=0),"Đang theo dõi",IFERROR(INDEX('06_DS_Chinh_Thuc'!$K:$K,MATCH(IFERROR(INDEX('05_Theo_Doi_Gio_Cong_7_Ngay'!$R:$R,MATCH(IFERROR(INDEX('02_DS_Nhan_Viec'!$J:$J,MATCH($B126,'02_DS_Nhan_Viec'!$B:$B,0)),""),'05_Theo_Doi_Gio_Cong_7_Ngay'!$B:$B,0)),0),'06_DS_Chinh_Thuc'!$B:$B,0)),"Đang theo dõi"))))</f>
      </c>
    </row>
    <row r="127" ht="14.25" customHeight="1" spans="1:55" x14ac:dyDescent="0.25">
      <c r="A127" s="52">
        <f t="shared" si="0"/>
      </c>
      <c r="B127" s="52">
        <f t="shared" si="1"/>
      </c>
      <c r="C127" s="53"/>
      <c r="D127" s="54"/>
      <c r="E127" s="55"/>
      <c r="F127" s="56"/>
      <c r="G127" s="56"/>
      <c r="H127" s="56"/>
      <c r="I127" s="54"/>
      <c r="J127" s="57"/>
      <c r="K127" s="59"/>
      <c r="L127" s="54"/>
      <c r="M127" s="54"/>
      <c r="N127" s="54"/>
      <c r="O127" s="55"/>
      <c r="P127" s="54"/>
      <c r="Q127" s="58"/>
      <c r="R127" s="54"/>
      <c r="S127" s="54"/>
      <c r="T127" s="59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6"/>
      <c r="AH127" s="56"/>
      <c r="AI127" s="54"/>
      <c r="AJ127" s="54"/>
      <c r="AK127" s="54"/>
      <c r="AL127" s="56"/>
      <c r="AM127" s="56"/>
      <c r="AN127" s="54"/>
      <c r="AO127" s="56"/>
      <c r="AP127" s="54"/>
      <c r="AQ127" s="56"/>
      <c r="AR127" s="54"/>
      <c r="AS127" s="54"/>
      <c r="AT127" s="54"/>
      <c r="AU127" s="59"/>
      <c r="AV127" s="54"/>
      <c r="AW127" s="54"/>
      <c r="AX127" s="59"/>
      <c r="AY127" s="59"/>
      <c r="AZ127" s="59"/>
      <c r="BA127" s="60">
        <f>IFERROR(VLOOKUP(B127,'02_DS_Nhan_Viec'!B:L,5,0),"")</f>
      </c>
      <c r="BB127" s="54"/>
      <c r="BC127" s="61">
        <f t="array" ref="BC127">IF($B127="","",IF(IFERROR(INDEX('02_DS_Nhan_Viec'!$J:$J,MATCH($B127,'02_DS_Nhan_Viec'!$B:$B,0)),"")="","Đang theo dõi",IF(OR(IFERROR(INDEX('05_Theo_Doi_Gio_Cong_7_Ngay'!$R:$R,MATCH(IFERROR(INDEX('02_DS_Nhan_Viec'!$J:$J,MATCH($B127,'02_DS_Nhan_Viec'!$B:$B,0)),""),'05_Theo_Doi_Gio_Cong_7_Ngay'!$B:$B,0)),"")="",IFERROR(INDEX('05_Theo_Doi_Gio_Cong_7_Ngay'!$R:$R,MATCH(IFERROR(INDEX('02_DS_Nhan_Viec'!$J:$J,MATCH($B127,'02_DS_Nhan_Viec'!$B:$B,0)),""),'05_Theo_Doi_Gio_Cong_7_Ngay'!$B:$B,0)),0)=0),"Đang theo dõi",IFERROR(INDEX('06_DS_Chinh_Thuc'!$K:$K,MATCH(IFERROR(INDEX('05_Theo_Doi_Gio_Cong_7_Ngay'!$R:$R,MATCH(IFERROR(INDEX('02_DS_Nhan_Viec'!$J:$J,MATCH($B127,'02_DS_Nhan_Viec'!$B:$B,0)),""),'05_Theo_Doi_Gio_Cong_7_Ngay'!$B:$B,0)),0),'06_DS_Chinh_Thuc'!$B:$B,0)),"Đang theo dõi"))))</f>
      </c>
    </row>
    <row r="128" ht="14.25" customHeight="1" spans="1:55" x14ac:dyDescent="0.25">
      <c r="A128" s="52">
        <f t="shared" si="0"/>
      </c>
      <c r="B128" s="52">
        <f t="shared" si="1"/>
      </c>
      <c r="C128" s="53"/>
      <c r="D128" s="54"/>
      <c r="E128" s="55"/>
      <c r="F128" s="56"/>
      <c r="G128" s="56"/>
      <c r="H128" s="56"/>
      <c r="I128" s="54"/>
      <c r="J128" s="57"/>
      <c r="K128" s="59"/>
      <c r="L128" s="54"/>
      <c r="M128" s="54"/>
      <c r="N128" s="54"/>
      <c r="O128" s="55"/>
      <c r="P128" s="54"/>
      <c r="Q128" s="58"/>
      <c r="R128" s="54"/>
      <c r="S128" s="54"/>
      <c r="T128" s="59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6"/>
      <c r="AH128" s="56"/>
      <c r="AI128" s="54"/>
      <c r="AJ128" s="54"/>
      <c r="AK128" s="54"/>
      <c r="AL128" s="56"/>
      <c r="AM128" s="56"/>
      <c r="AN128" s="54"/>
      <c r="AO128" s="56"/>
      <c r="AP128" s="54"/>
      <c r="AQ128" s="56"/>
      <c r="AR128" s="54"/>
      <c r="AS128" s="54"/>
      <c r="AT128" s="54"/>
      <c r="AU128" s="59"/>
      <c r="AV128" s="54"/>
      <c r="AW128" s="54"/>
      <c r="AX128" s="59"/>
      <c r="AY128" s="59"/>
      <c r="AZ128" s="59"/>
      <c r="BA128" s="60">
        <f>IFERROR(VLOOKUP(B128,'02_DS_Nhan_Viec'!B:L,5,0),"")</f>
      </c>
      <c r="BB128" s="54"/>
      <c r="BC128" s="61">
        <f t="array" ref="BC128">IF($B128="","",IF(IFERROR(INDEX('02_DS_Nhan_Viec'!$J:$J,MATCH($B128,'02_DS_Nhan_Viec'!$B:$B,0)),"")="","Đang theo dõi",IF(OR(IFERROR(INDEX('05_Theo_Doi_Gio_Cong_7_Ngay'!$R:$R,MATCH(IFERROR(INDEX('02_DS_Nhan_Viec'!$J:$J,MATCH($B128,'02_DS_Nhan_Viec'!$B:$B,0)),""),'05_Theo_Doi_Gio_Cong_7_Ngay'!$B:$B,0)),"")="",IFERROR(INDEX('05_Theo_Doi_Gio_Cong_7_Ngay'!$R:$R,MATCH(IFERROR(INDEX('02_DS_Nhan_Viec'!$J:$J,MATCH($B128,'02_DS_Nhan_Viec'!$B:$B,0)),""),'05_Theo_Doi_Gio_Cong_7_Ngay'!$B:$B,0)),0)=0),"Đang theo dõi",IFERROR(INDEX('06_DS_Chinh_Thuc'!$K:$K,MATCH(IFERROR(INDEX('05_Theo_Doi_Gio_Cong_7_Ngay'!$R:$R,MATCH(IFERROR(INDEX('02_DS_Nhan_Viec'!$J:$J,MATCH($B128,'02_DS_Nhan_Viec'!$B:$B,0)),""),'05_Theo_Doi_Gio_Cong_7_Ngay'!$B:$B,0)),0),'06_DS_Chinh_Thuc'!$B:$B,0)),"Đang theo dõi"))))</f>
      </c>
    </row>
    <row r="129" ht="14.25" customHeight="1" spans="1:55" x14ac:dyDescent="0.25">
      <c r="A129" s="52">
        <f t="shared" si="0"/>
      </c>
      <c r="B129" s="52">
        <f t="shared" si="1"/>
      </c>
      <c r="C129" s="53"/>
      <c r="D129" s="54"/>
      <c r="E129" s="55"/>
      <c r="F129" s="56"/>
      <c r="G129" s="56"/>
      <c r="H129" s="56"/>
      <c r="I129" s="54"/>
      <c r="J129" s="57"/>
      <c r="K129" s="59"/>
      <c r="L129" s="54"/>
      <c r="M129" s="54"/>
      <c r="N129" s="54"/>
      <c r="O129" s="55"/>
      <c r="P129" s="54"/>
      <c r="Q129" s="58"/>
      <c r="R129" s="54"/>
      <c r="S129" s="54"/>
      <c r="T129" s="59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6"/>
      <c r="AH129" s="56"/>
      <c r="AI129" s="54"/>
      <c r="AJ129" s="54"/>
      <c r="AK129" s="54"/>
      <c r="AL129" s="56"/>
      <c r="AM129" s="56"/>
      <c r="AN129" s="54"/>
      <c r="AO129" s="56"/>
      <c r="AP129" s="54"/>
      <c r="AQ129" s="56"/>
      <c r="AR129" s="54"/>
      <c r="AS129" s="54"/>
      <c r="AT129" s="54"/>
      <c r="AU129" s="59"/>
      <c r="AV129" s="54"/>
      <c r="AW129" s="54"/>
      <c r="AX129" s="59"/>
      <c r="AY129" s="59"/>
      <c r="AZ129" s="59"/>
      <c r="BA129" s="60">
        <f>IFERROR(VLOOKUP(B129,'02_DS_Nhan_Viec'!B:L,5,0),"")</f>
      </c>
      <c r="BB129" s="54"/>
      <c r="BC129" s="61">
        <f t="array" ref="BC129">IF($B129="","",IF(IFERROR(INDEX('02_DS_Nhan_Viec'!$J:$J,MATCH($B129,'02_DS_Nhan_Viec'!$B:$B,0)),"")="","Đang theo dõi",IF(OR(IFERROR(INDEX('05_Theo_Doi_Gio_Cong_7_Ngay'!$R:$R,MATCH(IFERROR(INDEX('02_DS_Nhan_Viec'!$J:$J,MATCH($B129,'02_DS_Nhan_Viec'!$B:$B,0)),""),'05_Theo_Doi_Gio_Cong_7_Ngay'!$B:$B,0)),"")="",IFERROR(INDEX('05_Theo_Doi_Gio_Cong_7_Ngay'!$R:$R,MATCH(IFERROR(INDEX('02_DS_Nhan_Viec'!$J:$J,MATCH($B129,'02_DS_Nhan_Viec'!$B:$B,0)),""),'05_Theo_Doi_Gio_Cong_7_Ngay'!$B:$B,0)),0)=0),"Đang theo dõi",IFERROR(INDEX('06_DS_Chinh_Thuc'!$K:$K,MATCH(IFERROR(INDEX('05_Theo_Doi_Gio_Cong_7_Ngay'!$R:$R,MATCH(IFERROR(INDEX('02_DS_Nhan_Viec'!$J:$J,MATCH($B129,'02_DS_Nhan_Viec'!$B:$B,0)),""),'05_Theo_Doi_Gio_Cong_7_Ngay'!$B:$B,0)),0),'06_DS_Chinh_Thuc'!$B:$B,0)),"Đang theo dõi"))))</f>
      </c>
    </row>
    <row r="130" ht="14.25" customHeight="1" spans="1:55" x14ac:dyDescent="0.25">
      <c r="A130" s="52">
        <f t="shared" si="0"/>
      </c>
      <c r="B130" s="52">
        <f t="shared" si="1"/>
      </c>
      <c r="C130" s="53"/>
      <c r="D130" s="54"/>
      <c r="E130" s="55"/>
      <c r="F130" s="56"/>
      <c r="G130" s="56"/>
      <c r="H130" s="56"/>
      <c r="I130" s="54"/>
      <c r="J130" s="57"/>
      <c r="K130" s="59"/>
      <c r="L130" s="54"/>
      <c r="M130" s="54"/>
      <c r="N130" s="54"/>
      <c r="O130" s="55"/>
      <c r="P130" s="54"/>
      <c r="Q130" s="58"/>
      <c r="R130" s="54"/>
      <c r="S130" s="54"/>
      <c r="T130" s="59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6"/>
      <c r="AH130" s="56"/>
      <c r="AI130" s="54"/>
      <c r="AJ130" s="54"/>
      <c r="AK130" s="54"/>
      <c r="AL130" s="56"/>
      <c r="AM130" s="56"/>
      <c r="AN130" s="54"/>
      <c r="AO130" s="56"/>
      <c r="AP130" s="54"/>
      <c r="AQ130" s="56"/>
      <c r="AR130" s="54"/>
      <c r="AS130" s="54"/>
      <c r="AT130" s="54"/>
      <c r="AU130" s="59"/>
      <c r="AV130" s="54"/>
      <c r="AW130" s="54"/>
      <c r="AX130" s="59"/>
      <c r="AY130" s="59"/>
      <c r="AZ130" s="59"/>
      <c r="BA130" s="60">
        <f>IFERROR(VLOOKUP(B130,'02_DS_Nhan_Viec'!B:L,5,0),"")</f>
      </c>
      <c r="BB130" s="54"/>
      <c r="BC130" s="61">
        <f t="array" ref="BC130">IF($B130="","",IF(IFERROR(INDEX('02_DS_Nhan_Viec'!$J:$J,MATCH($B130,'02_DS_Nhan_Viec'!$B:$B,0)),"")="","Đang theo dõi",IF(OR(IFERROR(INDEX('05_Theo_Doi_Gio_Cong_7_Ngay'!$R:$R,MATCH(IFERROR(INDEX('02_DS_Nhan_Viec'!$J:$J,MATCH($B130,'02_DS_Nhan_Viec'!$B:$B,0)),""),'05_Theo_Doi_Gio_Cong_7_Ngay'!$B:$B,0)),"")="",IFERROR(INDEX('05_Theo_Doi_Gio_Cong_7_Ngay'!$R:$R,MATCH(IFERROR(INDEX('02_DS_Nhan_Viec'!$J:$J,MATCH($B130,'02_DS_Nhan_Viec'!$B:$B,0)),""),'05_Theo_Doi_Gio_Cong_7_Ngay'!$B:$B,0)),0)=0),"Đang theo dõi",IFERROR(INDEX('06_DS_Chinh_Thuc'!$K:$K,MATCH(IFERROR(INDEX('05_Theo_Doi_Gio_Cong_7_Ngay'!$R:$R,MATCH(IFERROR(INDEX('02_DS_Nhan_Viec'!$J:$J,MATCH($B130,'02_DS_Nhan_Viec'!$B:$B,0)),""),'05_Theo_Doi_Gio_Cong_7_Ngay'!$B:$B,0)),0),'06_DS_Chinh_Thuc'!$B:$B,0)),"Đang theo dõi"))))</f>
      </c>
    </row>
    <row r="131" ht="14.25" customHeight="1" spans="1:55" x14ac:dyDescent="0.25">
      <c r="A131" s="52">
        <f t="shared" si="0"/>
      </c>
      <c r="B131" s="52">
        <f t="shared" si="1"/>
      </c>
      <c r="C131" s="53"/>
      <c r="D131" s="54"/>
      <c r="E131" s="55"/>
      <c r="F131" s="56"/>
      <c r="G131" s="56"/>
      <c r="H131" s="56"/>
      <c r="I131" s="54"/>
      <c r="J131" s="57"/>
      <c r="K131" s="59"/>
      <c r="L131" s="54"/>
      <c r="M131" s="54"/>
      <c r="N131" s="54"/>
      <c r="O131" s="55"/>
      <c r="P131" s="54"/>
      <c r="Q131" s="58"/>
      <c r="R131" s="54"/>
      <c r="S131" s="54"/>
      <c r="T131" s="59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6"/>
      <c r="AH131" s="56"/>
      <c r="AI131" s="54"/>
      <c r="AJ131" s="54"/>
      <c r="AK131" s="54"/>
      <c r="AL131" s="56"/>
      <c r="AM131" s="56"/>
      <c r="AN131" s="54"/>
      <c r="AO131" s="56"/>
      <c r="AP131" s="54"/>
      <c r="AQ131" s="56"/>
      <c r="AR131" s="54"/>
      <c r="AS131" s="54"/>
      <c r="AT131" s="54"/>
      <c r="AU131" s="59"/>
      <c r="AV131" s="54"/>
      <c r="AW131" s="54"/>
      <c r="AX131" s="59"/>
      <c r="AY131" s="59"/>
      <c r="AZ131" s="59"/>
      <c r="BA131" s="60">
        <f>IFERROR(VLOOKUP(B131,'02_DS_Nhan_Viec'!B:L,5,0),"")</f>
      </c>
      <c r="BB131" s="54"/>
      <c r="BC131" s="61">
        <f t="array" ref="BC131">IF($B131="","",IF(IFERROR(INDEX('02_DS_Nhan_Viec'!$J:$J,MATCH($B131,'02_DS_Nhan_Viec'!$B:$B,0)),"")="","Đang theo dõi",IF(OR(IFERROR(INDEX('05_Theo_Doi_Gio_Cong_7_Ngay'!$R:$R,MATCH(IFERROR(INDEX('02_DS_Nhan_Viec'!$J:$J,MATCH($B131,'02_DS_Nhan_Viec'!$B:$B,0)),""),'05_Theo_Doi_Gio_Cong_7_Ngay'!$B:$B,0)),"")="",IFERROR(INDEX('05_Theo_Doi_Gio_Cong_7_Ngay'!$R:$R,MATCH(IFERROR(INDEX('02_DS_Nhan_Viec'!$J:$J,MATCH($B131,'02_DS_Nhan_Viec'!$B:$B,0)),""),'05_Theo_Doi_Gio_Cong_7_Ngay'!$B:$B,0)),0)=0),"Đang theo dõi",IFERROR(INDEX('06_DS_Chinh_Thuc'!$K:$K,MATCH(IFERROR(INDEX('05_Theo_Doi_Gio_Cong_7_Ngay'!$R:$R,MATCH(IFERROR(INDEX('02_DS_Nhan_Viec'!$J:$J,MATCH($B131,'02_DS_Nhan_Viec'!$B:$B,0)),""),'05_Theo_Doi_Gio_Cong_7_Ngay'!$B:$B,0)),0),'06_DS_Chinh_Thuc'!$B:$B,0)),"Đang theo dõi"))))</f>
      </c>
    </row>
    <row r="132" ht="14.25" customHeight="1" spans="1:55" x14ac:dyDescent="0.25">
      <c r="A132" s="52">
        <f t="shared" si="0"/>
      </c>
      <c r="B132" s="52">
        <f t="shared" si="1"/>
      </c>
      <c r="C132" s="53"/>
      <c r="D132" s="54"/>
      <c r="E132" s="55"/>
      <c r="F132" s="56"/>
      <c r="G132" s="56"/>
      <c r="H132" s="56"/>
      <c r="I132" s="54"/>
      <c r="J132" s="57"/>
      <c r="K132" s="59"/>
      <c r="L132" s="54"/>
      <c r="M132" s="54"/>
      <c r="N132" s="54"/>
      <c r="O132" s="55"/>
      <c r="P132" s="54"/>
      <c r="Q132" s="58"/>
      <c r="R132" s="54"/>
      <c r="S132" s="54"/>
      <c r="T132" s="59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6"/>
      <c r="AH132" s="56"/>
      <c r="AI132" s="54"/>
      <c r="AJ132" s="54"/>
      <c r="AK132" s="54"/>
      <c r="AL132" s="56"/>
      <c r="AM132" s="56"/>
      <c r="AN132" s="54"/>
      <c r="AO132" s="56"/>
      <c r="AP132" s="54"/>
      <c r="AQ132" s="56"/>
      <c r="AR132" s="54"/>
      <c r="AS132" s="54"/>
      <c r="AT132" s="54"/>
      <c r="AU132" s="59"/>
      <c r="AV132" s="54"/>
      <c r="AW132" s="54"/>
      <c r="AX132" s="59"/>
      <c r="AY132" s="59"/>
      <c r="AZ132" s="59"/>
      <c r="BA132" s="60">
        <f>IFERROR(VLOOKUP(B132,'02_DS_Nhan_Viec'!B:L,5,0),"")</f>
      </c>
      <c r="BB132" s="54"/>
      <c r="BC132" s="61">
        <f t="array" ref="BC132">IF($B132="","",IF(IFERROR(INDEX('02_DS_Nhan_Viec'!$J:$J,MATCH($B132,'02_DS_Nhan_Viec'!$B:$B,0)),"")="","Đang theo dõi",IF(OR(IFERROR(INDEX('05_Theo_Doi_Gio_Cong_7_Ngay'!$R:$R,MATCH(IFERROR(INDEX('02_DS_Nhan_Viec'!$J:$J,MATCH($B132,'02_DS_Nhan_Viec'!$B:$B,0)),""),'05_Theo_Doi_Gio_Cong_7_Ngay'!$B:$B,0)),"")="",IFERROR(INDEX('05_Theo_Doi_Gio_Cong_7_Ngay'!$R:$R,MATCH(IFERROR(INDEX('02_DS_Nhan_Viec'!$J:$J,MATCH($B132,'02_DS_Nhan_Viec'!$B:$B,0)),""),'05_Theo_Doi_Gio_Cong_7_Ngay'!$B:$B,0)),0)=0),"Đang theo dõi",IFERROR(INDEX('06_DS_Chinh_Thuc'!$K:$K,MATCH(IFERROR(INDEX('05_Theo_Doi_Gio_Cong_7_Ngay'!$R:$R,MATCH(IFERROR(INDEX('02_DS_Nhan_Viec'!$J:$J,MATCH($B132,'02_DS_Nhan_Viec'!$B:$B,0)),""),'05_Theo_Doi_Gio_Cong_7_Ngay'!$B:$B,0)),0),'06_DS_Chinh_Thuc'!$B:$B,0)),"Đang theo dõi"))))</f>
      </c>
    </row>
    <row r="133" ht="14.25" customHeight="1" spans="1:55" x14ac:dyDescent="0.25">
      <c r="A133" s="52">
        <f t="shared" si="0"/>
      </c>
      <c r="B133" s="52">
        <f t="shared" si="1"/>
      </c>
      <c r="C133" s="53"/>
      <c r="D133" s="54"/>
      <c r="E133" s="55"/>
      <c r="F133" s="56"/>
      <c r="G133" s="56"/>
      <c r="H133" s="56"/>
      <c r="I133" s="54"/>
      <c r="J133" s="57"/>
      <c r="K133" s="59"/>
      <c r="L133" s="54"/>
      <c r="M133" s="54"/>
      <c r="N133" s="54"/>
      <c r="O133" s="55"/>
      <c r="P133" s="54"/>
      <c r="Q133" s="58"/>
      <c r="R133" s="54"/>
      <c r="S133" s="54"/>
      <c r="T133" s="59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6"/>
      <c r="AH133" s="56"/>
      <c r="AI133" s="54"/>
      <c r="AJ133" s="54"/>
      <c r="AK133" s="54"/>
      <c r="AL133" s="56"/>
      <c r="AM133" s="56"/>
      <c r="AN133" s="54"/>
      <c r="AO133" s="56"/>
      <c r="AP133" s="54"/>
      <c r="AQ133" s="56"/>
      <c r="AR133" s="54"/>
      <c r="AS133" s="54"/>
      <c r="AT133" s="54"/>
      <c r="AU133" s="59"/>
      <c r="AV133" s="54"/>
      <c r="AW133" s="54"/>
      <c r="AX133" s="59"/>
      <c r="AY133" s="59"/>
      <c r="AZ133" s="59"/>
      <c r="BA133" s="60">
        <f>IFERROR(VLOOKUP(B133,'02_DS_Nhan_Viec'!B:L,5,0),"")</f>
      </c>
      <c r="BB133" s="54"/>
      <c r="BC133" s="61">
        <f t="array" ref="BC133">IF($B133="","",IF(IFERROR(INDEX('02_DS_Nhan_Viec'!$J:$J,MATCH($B133,'02_DS_Nhan_Viec'!$B:$B,0)),"")="","Đang theo dõi",IF(OR(IFERROR(INDEX('05_Theo_Doi_Gio_Cong_7_Ngay'!$R:$R,MATCH(IFERROR(INDEX('02_DS_Nhan_Viec'!$J:$J,MATCH($B133,'02_DS_Nhan_Viec'!$B:$B,0)),""),'05_Theo_Doi_Gio_Cong_7_Ngay'!$B:$B,0)),"")="",IFERROR(INDEX('05_Theo_Doi_Gio_Cong_7_Ngay'!$R:$R,MATCH(IFERROR(INDEX('02_DS_Nhan_Viec'!$J:$J,MATCH($B133,'02_DS_Nhan_Viec'!$B:$B,0)),""),'05_Theo_Doi_Gio_Cong_7_Ngay'!$B:$B,0)),0)=0),"Đang theo dõi",IFERROR(INDEX('06_DS_Chinh_Thuc'!$K:$K,MATCH(IFERROR(INDEX('05_Theo_Doi_Gio_Cong_7_Ngay'!$R:$R,MATCH(IFERROR(INDEX('02_DS_Nhan_Viec'!$J:$J,MATCH($B133,'02_DS_Nhan_Viec'!$B:$B,0)),""),'05_Theo_Doi_Gio_Cong_7_Ngay'!$B:$B,0)),0),'06_DS_Chinh_Thuc'!$B:$B,0)),"Đang theo dõi"))))</f>
      </c>
    </row>
    <row r="134" ht="14.25" customHeight="1" spans="1:55" x14ac:dyDescent="0.25">
      <c r="A134" s="52">
        <f t="shared" si="0"/>
      </c>
      <c r="B134" s="52">
        <f t="shared" si="1"/>
      </c>
      <c r="C134" s="53"/>
      <c r="D134" s="54"/>
      <c r="E134" s="55"/>
      <c r="F134" s="56"/>
      <c r="G134" s="56"/>
      <c r="H134" s="56"/>
      <c r="I134" s="54"/>
      <c r="J134" s="57"/>
      <c r="K134" s="59"/>
      <c r="L134" s="54"/>
      <c r="M134" s="54"/>
      <c r="N134" s="54"/>
      <c r="O134" s="55"/>
      <c r="P134" s="54"/>
      <c r="Q134" s="58"/>
      <c r="R134" s="54"/>
      <c r="S134" s="54"/>
      <c r="T134" s="59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6"/>
      <c r="AH134" s="56"/>
      <c r="AI134" s="54"/>
      <c r="AJ134" s="54"/>
      <c r="AK134" s="54"/>
      <c r="AL134" s="56"/>
      <c r="AM134" s="56"/>
      <c r="AN134" s="54"/>
      <c r="AO134" s="56"/>
      <c r="AP134" s="54"/>
      <c r="AQ134" s="56"/>
      <c r="AR134" s="54"/>
      <c r="AS134" s="54"/>
      <c r="AT134" s="54"/>
      <c r="AU134" s="59"/>
      <c r="AV134" s="54"/>
      <c r="AW134" s="54"/>
      <c r="AX134" s="59"/>
      <c r="AY134" s="59"/>
      <c r="AZ134" s="59"/>
      <c r="BA134" s="60">
        <f>IFERROR(VLOOKUP(B134,'02_DS_Nhan_Viec'!B:L,5,0),"")</f>
      </c>
      <c r="BB134" s="54"/>
      <c r="BC134" s="61">
        <f t="array" ref="BC134">IF($B134="","",IF(IFERROR(INDEX('02_DS_Nhan_Viec'!$J:$J,MATCH($B134,'02_DS_Nhan_Viec'!$B:$B,0)),"")="","Đang theo dõi",IF(OR(IFERROR(INDEX('05_Theo_Doi_Gio_Cong_7_Ngay'!$R:$R,MATCH(IFERROR(INDEX('02_DS_Nhan_Viec'!$J:$J,MATCH($B134,'02_DS_Nhan_Viec'!$B:$B,0)),""),'05_Theo_Doi_Gio_Cong_7_Ngay'!$B:$B,0)),"")="",IFERROR(INDEX('05_Theo_Doi_Gio_Cong_7_Ngay'!$R:$R,MATCH(IFERROR(INDEX('02_DS_Nhan_Viec'!$J:$J,MATCH($B134,'02_DS_Nhan_Viec'!$B:$B,0)),""),'05_Theo_Doi_Gio_Cong_7_Ngay'!$B:$B,0)),0)=0),"Đang theo dõi",IFERROR(INDEX('06_DS_Chinh_Thuc'!$K:$K,MATCH(IFERROR(INDEX('05_Theo_Doi_Gio_Cong_7_Ngay'!$R:$R,MATCH(IFERROR(INDEX('02_DS_Nhan_Viec'!$J:$J,MATCH($B134,'02_DS_Nhan_Viec'!$B:$B,0)),""),'05_Theo_Doi_Gio_Cong_7_Ngay'!$B:$B,0)),0),'06_DS_Chinh_Thuc'!$B:$B,0)),"Đang theo dõi"))))</f>
      </c>
    </row>
    <row r="135" ht="14.25" customHeight="1" spans="1:55" x14ac:dyDescent="0.25">
      <c r="A135" s="52">
        <f t="shared" si="0"/>
      </c>
      <c r="B135" s="52">
        <f t="shared" si="1"/>
      </c>
      <c r="C135" s="53"/>
      <c r="D135" s="54"/>
      <c r="E135" s="55"/>
      <c r="F135" s="56"/>
      <c r="G135" s="56"/>
      <c r="H135" s="56"/>
      <c r="I135" s="54"/>
      <c r="J135" s="57"/>
      <c r="K135" s="59"/>
      <c r="L135" s="54"/>
      <c r="M135" s="54"/>
      <c r="N135" s="54"/>
      <c r="O135" s="55"/>
      <c r="P135" s="54"/>
      <c r="Q135" s="58"/>
      <c r="R135" s="54"/>
      <c r="S135" s="54"/>
      <c r="T135" s="59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6"/>
      <c r="AH135" s="56"/>
      <c r="AI135" s="54"/>
      <c r="AJ135" s="54"/>
      <c r="AK135" s="54"/>
      <c r="AL135" s="56"/>
      <c r="AM135" s="56"/>
      <c r="AN135" s="54"/>
      <c r="AO135" s="56"/>
      <c r="AP135" s="54"/>
      <c r="AQ135" s="56"/>
      <c r="AR135" s="54"/>
      <c r="AS135" s="54"/>
      <c r="AT135" s="54"/>
      <c r="AU135" s="59"/>
      <c r="AV135" s="54"/>
      <c r="AW135" s="54"/>
      <c r="AX135" s="59"/>
      <c r="AY135" s="59"/>
      <c r="AZ135" s="59"/>
      <c r="BA135" s="60">
        <f>IFERROR(VLOOKUP(B135,'02_DS_Nhan_Viec'!B:L,5,0),"")</f>
      </c>
      <c r="BB135" s="54"/>
      <c r="BC135" s="61">
        <f t="array" ref="BC135">IF($B135="","",IF(IFERROR(INDEX('02_DS_Nhan_Viec'!$J:$J,MATCH($B135,'02_DS_Nhan_Viec'!$B:$B,0)),"")="","Đang theo dõi",IF(OR(IFERROR(INDEX('05_Theo_Doi_Gio_Cong_7_Ngay'!$R:$R,MATCH(IFERROR(INDEX('02_DS_Nhan_Viec'!$J:$J,MATCH($B135,'02_DS_Nhan_Viec'!$B:$B,0)),""),'05_Theo_Doi_Gio_Cong_7_Ngay'!$B:$B,0)),"")="",IFERROR(INDEX('05_Theo_Doi_Gio_Cong_7_Ngay'!$R:$R,MATCH(IFERROR(INDEX('02_DS_Nhan_Viec'!$J:$J,MATCH($B135,'02_DS_Nhan_Viec'!$B:$B,0)),""),'05_Theo_Doi_Gio_Cong_7_Ngay'!$B:$B,0)),0)=0),"Đang theo dõi",IFERROR(INDEX('06_DS_Chinh_Thuc'!$K:$K,MATCH(IFERROR(INDEX('05_Theo_Doi_Gio_Cong_7_Ngay'!$R:$R,MATCH(IFERROR(INDEX('02_DS_Nhan_Viec'!$J:$J,MATCH($B135,'02_DS_Nhan_Viec'!$B:$B,0)),""),'05_Theo_Doi_Gio_Cong_7_Ngay'!$B:$B,0)),0),'06_DS_Chinh_Thuc'!$B:$B,0)),"Đang theo dõi"))))</f>
      </c>
    </row>
    <row r="136" ht="14.25" customHeight="1" spans="1:55" x14ac:dyDescent="0.25">
      <c r="A136" s="52">
        <f t="shared" si="0"/>
      </c>
      <c r="B136" s="52">
        <f t="shared" si="1"/>
      </c>
      <c r="C136" s="53"/>
      <c r="D136" s="54"/>
      <c r="E136" s="55"/>
      <c r="F136" s="56"/>
      <c r="G136" s="56"/>
      <c r="H136" s="56"/>
      <c r="I136" s="54"/>
      <c r="J136" s="57"/>
      <c r="K136" s="59"/>
      <c r="L136" s="54"/>
      <c r="M136" s="54"/>
      <c r="N136" s="54"/>
      <c r="O136" s="55"/>
      <c r="P136" s="54"/>
      <c r="Q136" s="58"/>
      <c r="R136" s="54"/>
      <c r="S136" s="54"/>
      <c r="T136" s="59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6"/>
      <c r="AH136" s="56"/>
      <c r="AI136" s="54"/>
      <c r="AJ136" s="54"/>
      <c r="AK136" s="54"/>
      <c r="AL136" s="56"/>
      <c r="AM136" s="56"/>
      <c r="AN136" s="54"/>
      <c r="AO136" s="56"/>
      <c r="AP136" s="54"/>
      <c r="AQ136" s="56"/>
      <c r="AR136" s="54"/>
      <c r="AS136" s="54"/>
      <c r="AT136" s="54"/>
      <c r="AU136" s="59"/>
      <c r="AV136" s="54"/>
      <c r="AW136" s="54"/>
      <c r="AX136" s="59"/>
      <c r="AY136" s="59"/>
      <c r="AZ136" s="59"/>
      <c r="BA136" s="60">
        <f>IFERROR(VLOOKUP(B136,'02_DS_Nhan_Viec'!B:L,5,0),"")</f>
      </c>
      <c r="BB136" s="54"/>
      <c r="BC136" s="61">
        <f t="array" ref="BC136">IF($B136="","",IF(IFERROR(INDEX('02_DS_Nhan_Viec'!$J:$J,MATCH($B136,'02_DS_Nhan_Viec'!$B:$B,0)),"")="","Đang theo dõi",IF(OR(IFERROR(INDEX('05_Theo_Doi_Gio_Cong_7_Ngay'!$R:$R,MATCH(IFERROR(INDEX('02_DS_Nhan_Viec'!$J:$J,MATCH($B136,'02_DS_Nhan_Viec'!$B:$B,0)),""),'05_Theo_Doi_Gio_Cong_7_Ngay'!$B:$B,0)),"")="",IFERROR(INDEX('05_Theo_Doi_Gio_Cong_7_Ngay'!$R:$R,MATCH(IFERROR(INDEX('02_DS_Nhan_Viec'!$J:$J,MATCH($B136,'02_DS_Nhan_Viec'!$B:$B,0)),""),'05_Theo_Doi_Gio_Cong_7_Ngay'!$B:$B,0)),0)=0),"Đang theo dõi",IFERROR(INDEX('06_DS_Chinh_Thuc'!$K:$K,MATCH(IFERROR(INDEX('05_Theo_Doi_Gio_Cong_7_Ngay'!$R:$R,MATCH(IFERROR(INDEX('02_DS_Nhan_Viec'!$J:$J,MATCH($B136,'02_DS_Nhan_Viec'!$B:$B,0)),""),'05_Theo_Doi_Gio_Cong_7_Ngay'!$B:$B,0)),0),'06_DS_Chinh_Thuc'!$B:$B,0)),"Đang theo dõi"))))</f>
      </c>
    </row>
    <row r="137" ht="14.25" customHeight="1" spans="1:55" x14ac:dyDescent="0.25">
      <c r="A137" s="52">
        <f t="shared" si="0"/>
      </c>
      <c r="B137" s="52">
        <f t="shared" si="1"/>
      </c>
      <c r="C137" s="53"/>
      <c r="D137" s="54"/>
      <c r="E137" s="55"/>
      <c r="F137" s="56"/>
      <c r="G137" s="56"/>
      <c r="H137" s="56"/>
      <c r="I137" s="54"/>
      <c r="J137" s="57"/>
      <c r="K137" s="59"/>
      <c r="L137" s="54"/>
      <c r="M137" s="54"/>
      <c r="N137" s="54"/>
      <c r="O137" s="55"/>
      <c r="P137" s="54"/>
      <c r="Q137" s="58"/>
      <c r="R137" s="54"/>
      <c r="S137" s="54"/>
      <c r="T137" s="59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6"/>
      <c r="AH137" s="56"/>
      <c r="AI137" s="54"/>
      <c r="AJ137" s="54"/>
      <c r="AK137" s="54"/>
      <c r="AL137" s="56"/>
      <c r="AM137" s="56"/>
      <c r="AN137" s="54"/>
      <c r="AO137" s="56"/>
      <c r="AP137" s="54"/>
      <c r="AQ137" s="56"/>
      <c r="AR137" s="54"/>
      <c r="AS137" s="54"/>
      <c r="AT137" s="54"/>
      <c r="AU137" s="59"/>
      <c r="AV137" s="54"/>
      <c r="AW137" s="54"/>
      <c r="AX137" s="59"/>
      <c r="AY137" s="59"/>
      <c r="AZ137" s="59"/>
      <c r="BA137" s="60">
        <f>IFERROR(VLOOKUP(B137,'02_DS_Nhan_Viec'!B:L,5,0),"")</f>
      </c>
      <c r="BB137" s="54"/>
      <c r="BC137" s="61">
        <f t="array" ref="BC137">IF($B137="","",IF(IFERROR(INDEX('02_DS_Nhan_Viec'!$J:$J,MATCH($B137,'02_DS_Nhan_Viec'!$B:$B,0)),"")="","Đang theo dõi",IF(OR(IFERROR(INDEX('05_Theo_Doi_Gio_Cong_7_Ngay'!$R:$R,MATCH(IFERROR(INDEX('02_DS_Nhan_Viec'!$J:$J,MATCH($B137,'02_DS_Nhan_Viec'!$B:$B,0)),""),'05_Theo_Doi_Gio_Cong_7_Ngay'!$B:$B,0)),"")="",IFERROR(INDEX('05_Theo_Doi_Gio_Cong_7_Ngay'!$R:$R,MATCH(IFERROR(INDEX('02_DS_Nhan_Viec'!$J:$J,MATCH($B137,'02_DS_Nhan_Viec'!$B:$B,0)),""),'05_Theo_Doi_Gio_Cong_7_Ngay'!$B:$B,0)),0)=0),"Đang theo dõi",IFERROR(INDEX('06_DS_Chinh_Thuc'!$K:$K,MATCH(IFERROR(INDEX('05_Theo_Doi_Gio_Cong_7_Ngay'!$R:$R,MATCH(IFERROR(INDEX('02_DS_Nhan_Viec'!$J:$J,MATCH($B137,'02_DS_Nhan_Viec'!$B:$B,0)),""),'05_Theo_Doi_Gio_Cong_7_Ngay'!$B:$B,0)),0),'06_DS_Chinh_Thuc'!$B:$B,0)),"Đang theo dõi"))))</f>
      </c>
    </row>
    <row r="138" ht="14.25" customHeight="1" spans="1:55" x14ac:dyDescent="0.25">
      <c r="A138" s="52">
        <f t="shared" si="0"/>
      </c>
      <c r="B138" s="52">
        <f t="shared" si="1"/>
      </c>
      <c r="C138" s="53"/>
      <c r="D138" s="54"/>
      <c r="E138" s="55"/>
      <c r="F138" s="56"/>
      <c r="G138" s="56"/>
      <c r="H138" s="56"/>
      <c r="I138" s="54"/>
      <c r="J138" s="57"/>
      <c r="K138" s="59"/>
      <c r="L138" s="54"/>
      <c r="M138" s="54"/>
      <c r="N138" s="54"/>
      <c r="O138" s="55"/>
      <c r="P138" s="54"/>
      <c r="Q138" s="58"/>
      <c r="R138" s="54"/>
      <c r="S138" s="54"/>
      <c r="T138" s="59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6"/>
      <c r="AH138" s="56"/>
      <c r="AI138" s="54"/>
      <c r="AJ138" s="54"/>
      <c r="AK138" s="54"/>
      <c r="AL138" s="56"/>
      <c r="AM138" s="56"/>
      <c r="AN138" s="54"/>
      <c r="AO138" s="56"/>
      <c r="AP138" s="54"/>
      <c r="AQ138" s="56"/>
      <c r="AR138" s="54"/>
      <c r="AS138" s="54"/>
      <c r="AT138" s="54"/>
      <c r="AU138" s="59"/>
      <c r="AV138" s="54"/>
      <c r="AW138" s="54"/>
      <c r="AX138" s="59"/>
      <c r="AY138" s="59"/>
      <c r="AZ138" s="59"/>
      <c r="BA138" s="60">
        <f>IFERROR(VLOOKUP(B138,'02_DS_Nhan_Viec'!B:L,5,0),"")</f>
      </c>
      <c r="BB138" s="54"/>
      <c r="BC138" s="61">
        <f t="array" ref="BC138">IF($B138="","",IF(IFERROR(INDEX('02_DS_Nhan_Viec'!$J:$J,MATCH($B138,'02_DS_Nhan_Viec'!$B:$B,0)),"")="","Đang theo dõi",IF(OR(IFERROR(INDEX('05_Theo_Doi_Gio_Cong_7_Ngay'!$R:$R,MATCH(IFERROR(INDEX('02_DS_Nhan_Viec'!$J:$J,MATCH($B138,'02_DS_Nhan_Viec'!$B:$B,0)),""),'05_Theo_Doi_Gio_Cong_7_Ngay'!$B:$B,0)),"")="",IFERROR(INDEX('05_Theo_Doi_Gio_Cong_7_Ngay'!$R:$R,MATCH(IFERROR(INDEX('02_DS_Nhan_Viec'!$J:$J,MATCH($B138,'02_DS_Nhan_Viec'!$B:$B,0)),""),'05_Theo_Doi_Gio_Cong_7_Ngay'!$B:$B,0)),0)=0),"Đang theo dõi",IFERROR(INDEX('06_DS_Chinh_Thuc'!$K:$K,MATCH(IFERROR(INDEX('05_Theo_Doi_Gio_Cong_7_Ngay'!$R:$R,MATCH(IFERROR(INDEX('02_DS_Nhan_Viec'!$J:$J,MATCH($B138,'02_DS_Nhan_Viec'!$B:$B,0)),""),'05_Theo_Doi_Gio_Cong_7_Ngay'!$B:$B,0)),0),'06_DS_Chinh_Thuc'!$B:$B,0)),"Đang theo dõi"))))</f>
      </c>
    </row>
    <row r="139" ht="14.25" customHeight="1" spans="1:55" x14ac:dyDescent="0.25">
      <c r="A139" s="52">
        <f t="shared" si="0"/>
      </c>
      <c r="B139" s="52">
        <f t="shared" si="1"/>
      </c>
      <c r="C139" s="53"/>
      <c r="D139" s="54"/>
      <c r="E139" s="55"/>
      <c r="F139" s="56"/>
      <c r="G139" s="56"/>
      <c r="H139" s="56"/>
      <c r="I139" s="54"/>
      <c r="J139" s="57"/>
      <c r="K139" s="59"/>
      <c r="L139" s="54"/>
      <c r="M139" s="54"/>
      <c r="N139" s="54"/>
      <c r="O139" s="55"/>
      <c r="P139" s="54"/>
      <c r="Q139" s="58"/>
      <c r="R139" s="54"/>
      <c r="S139" s="54"/>
      <c r="T139" s="59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6"/>
      <c r="AH139" s="56"/>
      <c r="AI139" s="54"/>
      <c r="AJ139" s="54"/>
      <c r="AK139" s="54"/>
      <c r="AL139" s="56"/>
      <c r="AM139" s="56"/>
      <c r="AN139" s="54"/>
      <c r="AO139" s="56"/>
      <c r="AP139" s="54"/>
      <c r="AQ139" s="56"/>
      <c r="AR139" s="54"/>
      <c r="AS139" s="54"/>
      <c r="AT139" s="54"/>
      <c r="AU139" s="59"/>
      <c r="AV139" s="54"/>
      <c r="AW139" s="54"/>
      <c r="AX139" s="59"/>
      <c r="AY139" s="59"/>
      <c r="AZ139" s="59"/>
      <c r="BA139" s="60">
        <f>IFERROR(VLOOKUP(B139,'02_DS_Nhan_Viec'!B:L,5,0),"")</f>
      </c>
      <c r="BB139" s="54"/>
      <c r="BC139" s="61">
        <f t="array" ref="BC139">IF($B139="","",IF(IFERROR(INDEX('02_DS_Nhan_Viec'!$J:$J,MATCH($B139,'02_DS_Nhan_Viec'!$B:$B,0)),"")="","Đang theo dõi",IF(OR(IFERROR(INDEX('05_Theo_Doi_Gio_Cong_7_Ngay'!$R:$R,MATCH(IFERROR(INDEX('02_DS_Nhan_Viec'!$J:$J,MATCH($B139,'02_DS_Nhan_Viec'!$B:$B,0)),""),'05_Theo_Doi_Gio_Cong_7_Ngay'!$B:$B,0)),"")="",IFERROR(INDEX('05_Theo_Doi_Gio_Cong_7_Ngay'!$R:$R,MATCH(IFERROR(INDEX('02_DS_Nhan_Viec'!$J:$J,MATCH($B139,'02_DS_Nhan_Viec'!$B:$B,0)),""),'05_Theo_Doi_Gio_Cong_7_Ngay'!$B:$B,0)),0)=0),"Đang theo dõi",IFERROR(INDEX('06_DS_Chinh_Thuc'!$K:$K,MATCH(IFERROR(INDEX('05_Theo_Doi_Gio_Cong_7_Ngay'!$R:$R,MATCH(IFERROR(INDEX('02_DS_Nhan_Viec'!$J:$J,MATCH($B139,'02_DS_Nhan_Viec'!$B:$B,0)),""),'05_Theo_Doi_Gio_Cong_7_Ngay'!$B:$B,0)),0),'06_DS_Chinh_Thuc'!$B:$B,0)),"Đang theo dõi"))))</f>
      </c>
    </row>
    <row r="140" ht="14.25" customHeight="1" spans="1:55" x14ac:dyDescent="0.25">
      <c r="A140" s="52">
        <f t="shared" si="0"/>
      </c>
      <c r="B140" s="52">
        <f t="shared" si="1"/>
      </c>
      <c r="C140" s="53"/>
      <c r="D140" s="54"/>
      <c r="E140" s="55"/>
      <c r="F140" s="56"/>
      <c r="G140" s="56"/>
      <c r="H140" s="56"/>
      <c r="I140" s="54"/>
      <c r="J140" s="57"/>
      <c r="K140" s="59"/>
      <c r="L140" s="54"/>
      <c r="M140" s="54"/>
      <c r="N140" s="54"/>
      <c r="O140" s="55"/>
      <c r="P140" s="54"/>
      <c r="Q140" s="58"/>
      <c r="R140" s="54"/>
      <c r="S140" s="54"/>
      <c r="T140" s="59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6"/>
      <c r="AH140" s="56"/>
      <c r="AI140" s="54"/>
      <c r="AJ140" s="54"/>
      <c r="AK140" s="54"/>
      <c r="AL140" s="56"/>
      <c r="AM140" s="56"/>
      <c r="AN140" s="54"/>
      <c r="AO140" s="56"/>
      <c r="AP140" s="54"/>
      <c r="AQ140" s="56"/>
      <c r="AR140" s="54"/>
      <c r="AS140" s="54"/>
      <c r="AT140" s="54"/>
      <c r="AU140" s="59"/>
      <c r="AV140" s="54"/>
      <c r="AW140" s="54"/>
      <c r="AX140" s="59"/>
      <c r="AY140" s="59"/>
      <c r="AZ140" s="59"/>
      <c r="BA140" s="60">
        <f>IFERROR(VLOOKUP(B140,'02_DS_Nhan_Viec'!B:L,5,0),"")</f>
      </c>
      <c r="BB140" s="54"/>
      <c r="BC140" s="61">
        <f t="array" ref="BC140">IF($B140="","",IF(IFERROR(INDEX('02_DS_Nhan_Viec'!$J:$J,MATCH($B140,'02_DS_Nhan_Viec'!$B:$B,0)),"")="","Đang theo dõi",IF(OR(IFERROR(INDEX('05_Theo_Doi_Gio_Cong_7_Ngay'!$R:$R,MATCH(IFERROR(INDEX('02_DS_Nhan_Viec'!$J:$J,MATCH($B140,'02_DS_Nhan_Viec'!$B:$B,0)),""),'05_Theo_Doi_Gio_Cong_7_Ngay'!$B:$B,0)),"")="",IFERROR(INDEX('05_Theo_Doi_Gio_Cong_7_Ngay'!$R:$R,MATCH(IFERROR(INDEX('02_DS_Nhan_Viec'!$J:$J,MATCH($B140,'02_DS_Nhan_Viec'!$B:$B,0)),""),'05_Theo_Doi_Gio_Cong_7_Ngay'!$B:$B,0)),0)=0),"Đang theo dõi",IFERROR(INDEX('06_DS_Chinh_Thuc'!$K:$K,MATCH(IFERROR(INDEX('05_Theo_Doi_Gio_Cong_7_Ngay'!$R:$R,MATCH(IFERROR(INDEX('02_DS_Nhan_Viec'!$J:$J,MATCH($B140,'02_DS_Nhan_Viec'!$B:$B,0)),""),'05_Theo_Doi_Gio_Cong_7_Ngay'!$B:$B,0)),0),'06_DS_Chinh_Thuc'!$B:$B,0)),"Đang theo dõi"))))</f>
      </c>
    </row>
    <row r="141" ht="14.25" customHeight="1" spans="1:55" x14ac:dyDescent="0.25">
      <c r="A141" s="52">
        <f t="shared" si="0"/>
      </c>
      <c r="B141" s="52">
        <f t="shared" si="1"/>
      </c>
      <c r="C141" s="53"/>
      <c r="D141" s="54"/>
      <c r="E141" s="55"/>
      <c r="F141" s="56"/>
      <c r="G141" s="56"/>
      <c r="H141" s="56"/>
      <c r="I141" s="54"/>
      <c r="J141" s="57"/>
      <c r="K141" s="59"/>
      <c r="L141" s="54"/>
      <c r="M141" s="54"/>
      <c r="N141" s="54"/>
      <c r="O141" s="55"/>
      <c r="P141" s="54"/>
      <c r="Q141" s="58"/>
      <c r="R141" s="54"/>
      <c r="S141" s="54"/>
      <c r="T141" s="59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6"/>
      <c r="AH141" s="56"/>
      <c r="AI141" s="54"/>
      <c r="AJ141" s="54"/>
      <c r="AK141" s="54"/>
      <c r="AL141" s="56"/>
      <c r="AM141" s="56"/>
      <c r="AN141" s="54"/>
      <c r="AO141" s="56"/>
      <c r="AP141" s="54"/>
      <c r="AQ141" s="56"/>
      <c r="AR141" s="54"/>
      <c r="AS141" s="54"/>
      <c r="AT141" s="54"/>
      <c r="AU141" s="59"/>
      <c r="AV141" s="54"/>
      <c r="AW141" s="54"/>
      <c r="AX141" s="59"/>
      <c r="AY141" s="59"/>
      <c r="AZ141" s="59"/>
      <c r="BA141" s="60">
        <f>IFERROR(VLOOKUP(B141,'02_DS_Nhan_Viec'!B:L,5,0),"")</f>
      </c>
      <c r="BB141" s="54"/>
      <c r="BC141" s="61">
        <f t="array" ref="BC141">IF($B141="","",IF(IFERROR(INDEX('02_DS_Nhan_Viec'!$J:$J,MATCH($B141,'02_DS_Nhan_Viec'!$B:$B,0)),"")="","Đang theo dõi",IF(OR(IFERROR(INDEX('05_Theo_Doi_Gio_Cong_7_Ngay'!$R:$R,MATCH(IFERROR(INDEX('02_DS_Nhan_Viec'!$J:$J,MATCH($B141,'02_DS_Nhan_Viec'!$B:$B,0)),""),'05_Theo_Doi_Gio_Cong_7_Ngay'!$B:$B,0)),"")="",IFERROR(INDEX('05_Theo_Doi_Gio_Cong_7_Ngay'!$R:$R,MATCH(IFERROR(INDEX('02_DS_Nhan_Viec'!$J:$J,MATCH($B141,'02_DS_Nhan_Viec'!$B:$B,0)),""),'05_Theo_Doi_Gio_Cong_7_Ngay'!$B:$B,0)),0)=0),"Đang theo dõi",IFERROR(INDEX('06_DS_Chinh_Thuc'!$K:$K,MATCH(IFERROR(INDEX('05_Theo_Doi_Gio_Cong_7_Ngay'!$R:$R,MATCH(IFERROR(INDEX('02_DS_Nhan_Viec'!$J:$J,MATCH($B141,'02_DS_Nhan_Viec'!$B:$B,0)),""),'05_Theo_Doi_Gio_Cong_7_Ngay'!$B:$B,0)),0),'06_DS_Chinh_Thuc'!$B:$B,0)),"Đang theo dõi"))))</f>
      </c>
    </row>
    <row r="142" ht="14.25" customHeight="1" spans="1:55" x14ac:dyDescent="0.25">
      <c r="A142" s="52">
        <f t="shared" si="0"/>
      </c>
      <c r="B142" s="52">
        <f t="shared" si="1"/>
      </c>
      <c r="C142" s="53"/>
      <c r="D142" s="54"/>
      <c r="E142" s="55"/>
      <c r="F142" s="56"/>
      <c r="G142" s="56"/>
      <c r="H142" s="56"/>
      <c r="I142" s="54"/>
      <c r="J142" s="57"/>
      <c r="K142" s="59"/>
      <c r="L142" s="54"/>
      <c r="M142" s="54"/>
      <c r="N142" s="54"/>
      <c r="O142" s="55"/>
      <c r="P142" s="54"/>
      <c r="Q142" s="58"/>
      <c r="R142" s="54"/>
      <c r="S142" s="54"/>
      <c r="T142" s="59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6"/>
      <c r="AH142" s="56"/>
      <c r="AI142" s="54"/>
      <c r="AJ142" s="54"/>
      <c r="AK142" s="54"/>
      <c r="AL142" s="56"/>
      <c r="AM142" s="56"/>
      <c r="AN142" s="54"/>
      <c r="AO142" s="56"/>
      <c r="AP142" s="54"/>
      <c r="AQ142" s="56"/>
      <c r="AR142" s="54"/>
      <c r="AS142" s="54"/>
      <c r="AT142" s="54"/>
      <c r="AU142" s="59"/>
      <c r="AV142" s="54"/>
      <c r="AW142" s="54"/>
      <c r="AX142" s="59"/>
      <c r="AY142" s="59"/>
      <c r="AZ142" s="59"/>
      <c r="BA142" s="60">
        <f>IFERROR(VLOOKUP(B142,'02_DS_Nhan_Viec'!B:L,5,0),"")</f>
      </c>
      <c r="BB142" s="54"/>
      <c r="BC142" s="61">
        <f t="array" ref="BC142">IF($B142="","",IF(IFERROR(INDEX('02_DS_Nhan_Viec'!$J:$J,MATCH($B142,'02_DS_Nhan_Viec'!$B:$B,0)),"")="","Đang theo dõi",IF(OR(IFERROR(INDEX('05_Theo_Doi_Gio_Cong_7_Ngay'!$R:$R,MATCH(IFERROR(INDEX('02_DS_Nhan_Viec'!$J:$J,MATCH($B142,'02_DS_Nhan_Viec'!$B:$B,0)),""),'05_Theo_Doi_Gio_Cong_7_Ngay'!$B:$B,0)),"")="",IFERROR(INDEX('05_Theo_Doi_Gio_Cong_7_Ngay'!$R:$R,MATCH(IFERROR(INDEX('02_DS_Nhan_Viec'!$J:$J,MATCH($B142,'02_DS_Nhan_Viec'!$B:$B,0)),""),'05_Theo_Doi_Gio_Cong_7_Ngay'!$B:$B,0)),0)=0),"Đang theo dõi",IFERROR(INDEX('06_DS_Chinh_Thuc'!$K:$K,MATCH(IFERROR(INDEX('05_Theo_Doi_Gio_Cong_7_Ngay'!$R:$R,MATCH(IFERROR(INDEX('02_DS_Nhan_Viec'!$J:$J,MATCH($B142,'02_DS_Nhan_Viec'!$B:$B,0)),""),'05_Theo_Doi_Gio_Cong_7_Ngay'!$B:$B,0)),0),'06_DS_Chinh_Thuc'!$B:$B,0)),"Đang theo dõi"))))</f>
      </c>
    </row>
    <row r="143" ht="14.25" customHeight="1" spans="1:55" x14ac:dyDescent="0.25">
      <c r="A143" s="52">
        <f t="shared" si="0"/>
      </c>
      <c r="B143" s="52">
        <f t="shared" si="1"/>
      </c>
      <c r="C143" s="53"/>
      <c r="D143" s="54"/>
      <c r="E143" s="55"/>
      <c r="F143" s="56"/>
      <c r="G143" s="56"/>
      <c r="H143" s="56"/>
      <c r="I143" s="54"/>
      <c r="J143" s="57"/>
      <c r="K143" s="59"/>
      <c r="L143" s="54"/>
      <c r="M143" s="54"/>
      <c r="N143" s="54"/>
      <c r="O143" s="55"/>
      <c r="P143" s="54"/>
      <c r="Q143" s="58"/>
      <c r="R143" s="54"/>
      <c r="S143" s="54"/>
      <c r="T143" s="59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6"/>
      <c r="AH143" s="56"/>
      <c r="AI143" s="54"/>
      <c r="AJ143" s="54"/>
      <c r="AK143" s="54"/>
      <c r="AL143" s="56"/>
      <c r="AM143" s="56"/>
      <c r="AN143" s="54"/>
      <c r="AO143" s="56"/>
      <c r="AP143" s="54"/>
      <c r="AQ143" s="56"/>
      <c r="AR143" s="54"/>
      <c r="AS143" s="54"/>
      <c r="AT143" s="54"/>
      <c r="AU143" s="59"/>
      <c r="AV143" s="54"/>
      <c r="AW143" s="54"/>
      <c r="AX143" s="59"/>
      <c r="AY143" s="59"/>
      <c r="AZ143" s="59"/>
      <c r="BA143" s="60">
        <f>IFERROR(VLOOKUP(B143,'02_DS_Nhan_Viec'!B:L,5,0),"")</f>
      </c>
      <c r="BB143" s="54"/>
      <c r="BC143" s="61">
        <f t="array" ref="BC143">IF($B143="","",IF(IFERROR(INDEX('02_DS_Nhan_Viec'!$J:$J,MATCH($B143,'02_DS_Nhan_Viec'!$B:$B,0)),"")="","Đang theo dõi",IF(OR(IFERROR(INDEX('05_Theo_Doi_Gio_Cong_7_Ngay'!$R:$R,MATCH(IFERROR(INDEX('02_DS_Nhan_Viec'!$J:$J,MATCH($B143,'02_DS_Nhan_Viec'!$B:$B,0)),""),'05_Theo_Doi_Gio_Cong_7_Ngay'!$B:$B,0)),"")="",IFERROR(INDEX('05_Theo_Doi_Gio_Cong_7_Ngay'!$R:$R,MATCH(IFERROR(INDEX('02_DS_Nhan_Viec'!$J:$J,MATCH($B143,'02_DS_Nhan_Viec'!$B:$B,0)),""),'05_Theo_Doi_Gio_Cong_7_Ngay'!$B:$B,0)),0)=0),"Đang theo dõi",IFERROR(INDEX('06_DS_Chinh_Thuc'!$K:$K,MATCH(IFERROR(INDEX('05_Theo_Doi_Gio_Cong_7_Ngay'!$R:$R,MATCH(IFERROR(INDEX('02_DS_Nhan_Viec'!$J:$J,MATCH($B143,'02_DS_Nhan_Viec'!$B:$B,0)),""),'05_Theo_Doi_Gio_Cong_7_Ngay'!$B:$B,0)),0),'06_DS_Chinh_Thuc'!$B:$B,0)),"Đang theo dõi"))))</f>
      </c>
    </row>
    <row r="144" ht="14.25" customHeight="1" spans="1:55" x14ac:dyDescent="0.25">
      <c r="A144" s="52">
        <f t="shared" si="0"/>
      </c>
      <c r="B144" s="52">
        <f t="shared" si="1"/>
      </c>
      <c r="C144" s="53"/>
      <c r="D144" s="54"/>
      <c r="E144" s="55"/>
      <c r="F144" s="56"/>
      <c r="G144" s="56"/>
      <c r="H144" s="56"/>
      <c r="I144" s="54"/>
      <c r="J144" s="57"/>
      <c r="K144" s="59"/>
      <c r="L144" s="54"/>
      <c r="M144" s="54"/>
      <c r="N144" s="54"/>
      <c r="O144" s="55"/>
      <c r="P144" s="54"/>
      <c r="Q144" s="58"/>
      <c r="R144" s="54"/>
      <c r="S144" s="54"/>
      <c r="T144" s="59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6"/>
      <c r="AH144" s="56"/>
      <c r="AI144" s="54"/>
      <c r="AJ144" s="54"/>
      <c r="AK144" s="54"/>
      <c r="AL144" s="56"/>
      <c r="AM144" s="56"/>
      <c r="AN144" s="54"/>
      <c r="AO144" s="56"/>
      <c r="AP144" s="54"/>
      <c r="AQ144" s="56"/>
      <c r="AR144" s="54"/>
      <c r="AS144" s="54"/>
      <c r="AT144" s="54"/>
      <c r="AU144" s="59"/>
      <c r="AV144" s="54"/>
      <c r="AW144" s="54"/>
      <c r="AX144" s="59"/>
      <c r="AY144" s="59"/>
      <c r="AZ144" s="59"/>
      <c r="BA144" s="60">
        <f>IFERROR(VLOOKUP(B144,'02_DS_Nhan_Viec'!B:L,5,0),"")</f>
      </c>
      <c r="BB144" s="54"/>
      <c r="BC144" s="61">
        <f t="array" ref="BC144">IF($B144="","",IF(IFERROR(INDEX('02_DS_Nhan_Viec'!$J:$J,MATCH($B144,'02_DS_Nhan_Viec'!$B:$B,0)),"")="","Đang theo dõi",IF(OR(IFERROR(INDEX('05_Theo_Doi_Gio_Cong_7_Ngay'!$R:$R,MATCH(IFERROR(INDEX('02_DS_Nhan_Viec'!$J:$J,MATCH($B144,'02_DS_Nhan_Viec'!$B:$B,0)),""),'05_Theo_Doi_Gio_Cong_7_Ngay'!$B:$B,0)),"")="",IFERROR(INDEX('05_Theo_Doi_Gio_Cong_7_Ngay'!$R:$R,MATCH(IFERROR(INDEX('02_DS_Nhan_Viec'!$J:$J,MATCH($B144,'02_DS_Nhan_Viec'!$B:$B,0)),""),'05_Theo_Doi_Gio_Cong_7_Ngay'!$B:$B,0)),0)=0),"Đang theo dõi",IFERROR(INDEX('06_DS_Chinh_Thuc'!$K:$K,MATCH(IFERROR(INDEX('05_Theo_Doi_Gio_Cong_7_Ngay'!$R:$R,MATCH(IFERROR(INDEX('02_DS_Nhan_Viec'!$J:$J,MATCH($B144,'02_DS_Nhan_Viec'!$B:$B,0)),""),'05_Theo_Doi_Gio_Cong_7_Ngay'!$B:$B,0)),0),'06_DS_Chinh_Thuc'!$B:$B,0)),"Đang theo dõi"))))</f>
      </c>
    </row>
    <row r="145" ht="14.25" customHeight="1" spans="1:55" x14ac:dyDescent="0.25">
      <c r="A145" s="52">
        <f t="shared" si="0"/>
      </c>
      <c r="B145" s="52">
        <f t="shared" si="1"/>
      </c>
      <c r="C145" s="53"/>
      <c r="D145" s="54"/>
      <c r="E145" s="55"/>
      <c r="F145" s="56"/>
      <c r="G145" s="56"/>
      <c r="H145" s="56"/>
      <c r="I145" s="54"/>
      <c r="J145" s="57"/>
      <c r="K145" s="59"/>
      <c r="L145" s="54"/>
      <c r="M145" s="54"/>
      <c r="N145" s="54"/>
      <c r="O145" s="55"/>
      <c r="P145" s="54"/>
      <c r="Q145" s="58"/>
      <c r="R145" s="54"/>
      <c r="S145" s="54"/>
      <c r="T145" s="59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6"/>
      <c r="AH145" s="56"/>
      <c r="AI145" s="54"/>
      <c r="AJ145" s="54"/>
      <c r="AK145" s="54"/>
      <c r="AL145" s="56"/>
      <c r="AM145" s="56"/>
      <c r="AN145" s="54"/>
      <c r="AO145" s="56"/>
      <c r="AP145" s="54"/>
      <c r="AQ145" s="56"/>
      <c r="AR145" s="54"/>
      <c r="AS145" s="54"/>
      <c r="AT145" s="54"/>
      <c r="AU145" s="59"/>
      <c r="AV145" s="54"/>
      <c r="AW145" s="54"/>
      <c r="AX145" s="59"/>
      <c r="AY145" s="59"/>
      <c r="AZ145" s="59"/>
      <c r="BA145" s="60">
        <f>IFERROR(VLOOKUP(B145,'02_DS_Nhan_Viec'!B:L,5,0),"")</f>
      </c>
      <c r="BB145" s="54"/>
      <c r="BC145" s="61">
        <f t="array" ref="BC145">IF($B145="","",IF(IFERROR(INDEX('02_DS_Nhan_Viec'!$J:$J,MATCH($B145,'02_DS_Nhan_Viec'!$B:$B,0)),"")="","Đang theo dõi",IF(OR(IFERROR(INDEX('05_Theo_Doi_Gio_Cong_7_Ngay'!$R:$R,MATCH(IFERROR(INDEX('02_DS_Nhan_Viec'!$J:$J,MATCH($B145,'02_DS_Nhan_Viec'!$B:$B,0)),""),'05_Theo_Doi_Gio_Cong_7_Ngay'!$B:$B,0)),"")="",IFERROR(INDEX('05_Theo_Doi_Gio_Cong_7_Ngay'!$R:$R,MATCH(IFERROR(INDEX('02_DS_Nhan_Viec'!$J:$J,MATCH($B145,'02_DS_Nhan_Viec'!$B:$B,0)),""),'05_Theo_Doi_Gio_Cong_7_Ngay'!$B:$B,0)),0)=0),"Đang theo dõi",IFERROR(INDEX('06_DS_Chinh_Thuc'!$K:$K,MATCH(IFERROR(INDEX('05_Theo_Doi_Gio_Cong_7_Ngay'!$R:$R,MATCH(IFERROR(INDEX('02_DS_Nhan_Viec'!$J:$J,MATCH($B145,'02_DS_Nhan_Viec'!$B:$B,0)),""),'05_Theo_Doi_Gio_Cong_7_Ngay'!$B:$B,0)),0),'06_DS_Chinh_Thuc'!$B:$B,0)),"Đang theo dõi"))))</f>
      </c>
    </row>
    <row r="146" ht="14.25" customHeight="1" spans="1:55" x14ac:dyDescent="0.25">
      <c r="A146" s="52">
        <f t="shared" si="0"/>
      </c>
      <c r="B146" s="52">
        <f t="shared" si="1"/>
      </c>
      <c r="C146" s="53"/>
      <c r="D146" s="54"/>
      <c r="E146" s="55"/>
      <c r="F146" s="56"/>
      <c r="G146" s="56"/>
      <c r="H146" s="56"/>
      <c r="I146" s="54"/>
      <c r="J146" s="57"/>
      <c r="K146" s="59"/>
      <c r="L146" s="54"/>
      <c r="M146" s="54"/>
      <c r="N146" s="54"/>
      <c r="O146" s="55"/>
      <c r="P146" s="54"/>
      <c r="Q146" s="58"/>
      <c r="R146" s="54"/>
      <c r="S146" s="54"/>
      <c r="T146" s="59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6"/>
      <c r="AH146" s="56"/>
      <c r="AI146" s="54"/>
      <c r="AJ146" s="54"/>
      <c r="AK146" s="54"/>
      <c r="AL146" s="56"/>
      <c r="AM146" s="56"/>
      <c r="AN146" s="54"/>
      <c r="AO146" s="56"/>
      <c r="AP146" s="54"/>
      <c r="AQ146" s="56"/>
      <c r="AR146" s="54"/>
      <c r="AS146" s="54"/>
      <c r="AT146" s="54"/>
      <c r="AU146" s="59"/>
      <c r="AV146" s="54"/>
      <c r="AW146" s="54"/>
      <c r="AX146" s="59"/>
      <c r="AY146" s="59"/>
      <c r="AZ146" s="59"/>
      <c r="BA146" s="60">
        <f>IFERROR(VLOOKUP(B146,'02_DS_Nhan_Viec'!B:L,5,0),"")</f>
      </c>
      <c r="BB146" s="54"/>
      <c r="BC146" s="61">
        <f t="array" ref="BC146">IF($B146="","",IF(IFERROR(INDEX('02_DS_Nhan_Viec'!$J:$J,MATCH($B146,'02_DS_Nhan_Viec'!$B:$B,0)),"")="","Đang theo dõi",IF(OR(IFERROR(INDEX('05_Theo_Doi_Gio_Cong_7_Ngay'!$R:$R,MATCH(IFERROR(INDEX('02_DS_Nhan_Viec'!$J:$J,MATCH($B146,'02_DS_Nhan_Viec'!$B:$B,0)),""),'05_Theo_Doi_Gio_Cong_7_Ngay'!$B:$B,0)),"")="",IFERROR(INDEX('05_Theo_Doi_Gio_Cong_7_Ngay'!$R:$R,MATCH(IFERROR(INDEX('02_DS_Nhan_Viec'!$J:$J,MATCH($B146,'02_DS_Nhan_Viec'!$B:$B,0)),""),'05_Theo_Doi_Gio_Cong_7_Ngay'!$B:$B,0)),0)=0),"Đang theo dõi",IFERROR(INDEX('06_DS_Chinh_Thuc'!$K:$K,MATCH(IFERROR(INDEX('05_Theo_Doi_Gio_Cong_7_Ngay'!$R:$R,MATCH(IFERROR(INDEX('02_DS_Nhan_Viec'!$J:$J,MATCH($B146,'02_DS_Nhan_Viec'!$B:$B,0)),""),'05_Theo_Doi_Gio_Cong_7_Ngay'!$B:$B,0)),0),'06_DS_Chinh_Thuc'!$B:$B,0)),"Đang theo dõi"))))</f>
      </c>
    </row>
    <row r="147" ht="14.25" customHeight="1" spans="1:55" x14ac:dyDescent="0.25">
      <c r="A147" s="52">
        <f t="shared" si="0"/>
      </c>
      <c r="B147" s="52">
        <f t="shared" si="1"/>
      </c>
      <c r="C147" s="53"/>
      <c r="D147" s="54"/>
      <c r="E147" s="55"/>
      <c r="F147" s="56"/>
      <c r="G147" s="56"/>
      <c r="H147" s="56"/>
      <c r="I147" s="54"/>
      <c r="J147" s="57"/>
      <c r="K147" s="59"/>
      <c r="L147" s="54"/>
      <c r="M147" s="54"/>
      <c r="N147" s="54"/>
      <c r="O147" s="55"/>
      <c r="P147" s="54"/>
      <c r="Q147" s="58"/>
      <c r="R147" s="54"/>
      <c r="S147" s="54"/>
      <c r="T147" s="59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6"/>
      <c r="AH147" s="56"/>
      <c r="AI147" s="54"/>
      <c r="AJ147" s="54"/>
      <c r="AK147" s="54"/>
      <c r="AL147" s="56"/>
      <c r="AM147" s="56"/>
      <c r="AN147" s="54"/>
      <c r="AO147" s="56"/>
      <c r="AP147" s="54"/>
      <c r="AQ147" s="56"/>
      <c r="AR147" s="54"/>
      <c r="AS147" s="54"/>
      <c r="AT147" s="54"/>
      <c r="AU147" s="59"/>
      <c r="AV147" s="54"/>
      <c r="AW147" s="54"/>
      <c r="AX147" s="59"/>
      <c r="AY147" s="59"/>
      <c r="AZ147" s="59"/>
      <c r="BA147" s="60">
        <f>IFERROR(VLOOKUP(B147,'02_DS_Nhan_Viec'!B:L,5,0),"")</f>
      </c>
      <c r="BB147" s="54"/>
      <c r="BC147" s="61">
        <f t="array" ref="BC147">IF($B147="","",IF(IFERROR(INDEX('02_DS_Nhan_Viec'!$J:$J,MATCH($B147,'02_DS_Nhan_Viec'!$B:$B,0)),"")="","Đang theo dõi",IF(OR(IFERROR(INDEX('05_Theo_Doi_Gio_Cong_7_Ngay'!$R:$R,MATCH(IFERROR(INDEX('02_DS_Nhan_Viec'!$J:$J,MATCH($B147,'02_DS_Nhan_Viec'!$B:$B,0)),""),'05_Theo_Doi_Gio_Cong_7_Ngay'!$B:$B,0)),"")="",IFERROR(INDEX('05_Theo_Doi_Gio_Cong_7_Ngay'!$R:$R,MATCH(IFERROR(INDEX('02_DS_Nhan_Viec'!$J:$J,MATCH($B147,'02_DS_Nhan_Viec'!$B:$B,0)),""),'05_Theo_Doi_Gio_Cong_7_Ngay'!$B:$B,0)),0)=0),"Đang theo dõi",IFERROR(INDEX('06_DS_Chinh_Thuc'!$K:$K,MATCH(IFERROR(INDEX('05_Theo_Doi_Gio_Cong_7_Ngay'!$R:$R,MATCH(IFERROR(INDEX('02_DS_Nhan_Viec'!$J:$J,MATCH($B147,'02_DS_Nhan_Viec'!$B:$B,0)),""),'05_Theo_Doi_Gio_Cong_7_Ngay'!$B:$B,0)),0),'06_DS_Chinh_Thuc'!$B:$B,0)),"Đang theo dõi"))))</f>
      </c>
    </row>
    <row r="148" ht="14.25" customHeight="1" spans="1:55" x14ac:dyDescent="0.25">
      <c r="A148" s="52">
        <f t="shared" si="0"/>
      </c>
      <c r="B148" s="52">
        <f t="shared" si="1"/>
      </c>
      <c r="C148" s="53"/>
      <c r="D148" s="54"/>
      <c r="E148" s="55"/>
      <c r="F148" s="56"/>
      <c r="G148" s="56"/>
      <c r="H148" s="56"/>
      <c r="I148" s="54"/>
      <c r="J148" s="57"/>
      <c r="K148" s="59"/>
      <c r="L148" s="54"/>
      <c r="M148" s="54"/>
      <c r="N148" s="54"/>
      <c r="O148" s="55"/>
      <c r="P148" s="54"/>
      <c r="Q148" s="58"/>
      <c r="R148" s="54"/>
      <c r="S148" s="54"/>
      <c r="T148" s="59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6"/>
      <c r="AH148" s="56"/>
      <c r="AI148" s="54"/>
      <c r="AJ148" s="54"/>
      <c r="AK148" s="54"/>
      <c r="AL148" s="56"/>
      <c r="AM148" s="56"/>
      <c r="AN148" s="54"/>
      <c r="AO148" s="56"/>
      <c r="AP148" s="54"/>
      <c r="AQ148" s="56"/>
      <c r="AR148" s="54"/>
      <c r="AS148" s="54"/>
      <c r="AT148" s="54"/>
      <c r="AU148" s="59"/>
      <c r="AV148" s="54"/>
      <c r="AW148" s="54"/>
      <c r="AX148" s="59"/>
      <c r="AY148" s="59"/>
      <c r="AZ148" s="59"/>
      <c r="BA148" s="60">
        <f>IFERROR(VLOOKUP(B148,'02_DS_Nhan_Viec'!B:L,5,0),"")</f>
      </c>
      <c r="BB148" s="54"/>
      <c r="BC148" s="61">
        <f t="array" ref="BC148">IF($B148="","",IF(IFERROR(INDEX('02_DS_Nhan_Viec'!$J:$J,MATCH($B148,'02_DS_Nhan_Viec'!$B:$B,0)),"")="","Đang theo dõi",IF(OR(IFERROR(INDEX('05_Theo_Doi_Gio_Cong_7_Ngay'!$R:$R,MATCH(IFERROR(INDEX('02_DS_Nhan_Viec'!$J:$J,MATCH($B148,'02_DS_Nhan_Viec'!$B:$B,0)),""),'05_Theo_Doi_Gio_Cong_7_Ngay'!$B:$B,0)),"")="",IFERROR(INDEX('05_Theo_Doi_Gio_Cong_7_Ngay'!$R:$R,MATCH(IFERROR(INDEX('02_DS_Nhan_Viec'!$J:$J,MATCH($B148,'02_DS_Nhan_Viec'!$B:$B,0)),""),'05_Theo_Doi_Gio_Cong_7_Ngay'!$B:$B,0)),0)=0),"Đang theo dõi",IFERROR(INDEX('06_DS_Chinh_Thuc'!$K:$K,MATCH(IFERROR(INDEX('05_Theo_Doi_Gio_Cong_7_Ngay'!$R:$R,MATCH(IFERROR(INDEX('02_DS_Nhan_Viec'!$J:$J,MATCH($B148,'02_DS_Nhan_Viec'!$B:$B,0)),""),'05_Theo_Doi_Gio_Cong_7_Ngay'!$B:$B,0)),0),'06_DS_Chinh_Thuc'!$B:$B,0)),"Đang theo dõi"))))</f>
      </c>
    </row>
    <row r="149" ht="14.25" customHeight="1" spans="1:55" x14ac:dyDescent="0.25">
      <c r="A149" s="52">
        <f t="shared" si="0"/>
      </c>
      <c r="B149" s="52">
        <f t="shared" si="1"/>
      </c>
      <c r="C149" s="53"/>
      <c r="D149" s="54"/>
      <c r="E149" s="55"/>
      <c r="F149" s="56"/>
      <c r="G149" s="56"/>
      <c r="H149" s="56"/>
      <c r="I149" s="54"/>
      <c r="J149" s="57"/>
      <c r="K149" s="59"/>
      <c r="L149" s="54"/>
      <c r="M149" s="54"/>
      <c r="N149" s="54"/>
      <c r="O149" s="55"/>
      <c r="P149" s="54"/>
      <c r="Q149" s="58"/>
      <c r="R149" s="54"/>
      <c r="S149" s="54"/>
      <c r="T149" s="59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6"/>
      <c r="AH149" s="56"/>
      <c r="AI149" s="54"/>
      <c r="AJ149" s="54"/>
      <c r="AK149" s="54"/>
      <c r="AL149" s="56"/>
      <c r="AM149" s="56"/>
      <c r="AN149" s="54"/>
      <c r="AO149" s="56"/>
      <c r="AP149" s="54"/>
      <c r="AQ149" s="56"/>
      <c r="AR149" s="54"/>
      <c r="AS149" s="54"/>
      <c r="AT149" s="54"/>
      <c r="AU149" s="59"/>
      <c r="AV149" s="54"/>
      <c r="AW149" s="54"/>
      <c r="AX149" s="59"/>
      <c r="AY149" s="59"/>
      <c r="AZ149" s="59"/>
      <c r="BA149" s="60">
        <f>IFERROR(VLOOKUP(B149,'02_DS_Nhan_Viec'!B:L,5,0),"")</f>
      </c>
      <c r="BB149" s="54"/>
      <c r="BC149" s="61">
        <f t="array" ref="BC149">IF($B149="","",IF(IFERROR(INDEX('02_DS_Nhan_Viec'!$J:$J,MATCH($B149,'02_DS_Nhan_Viec'!$B:$B,0)),"")="","Đang theo dõi",IF(OR(IFERROR(INDEX('05_Theo_Doi_Gio_Cong_7_Ngay'!$R:$R,MATCH(IFERROR(INDEX('02_DS_Nhan_Viec'!$J:$J,MATCH($B149,'02_DS_Nhan_Viec'!$B:$B,0)),""),'05_Theo_Doi_Gio_Cong_7_Ngay'!$B:$B,0)),"")="",IFERROR(INDEX('05_Theo_Doi_Gio_Cong_7_Ngay'!$R:$R,MATCH(IFERROR(INDEX('02_DS_Nhan_Viec'!$J:$J,MATCH($B149,'02_DS_Nhan_Viec'!$B:$B,0)),""),'05_Theo_Doi_Gio_Cong_7_Ngay'!$B:$B,0)),0)=0),"Đang theo dõi",IFERROR(INDEX('06_DS_Chinh_Thuc'!$K:$K,MATCH(IFERROR(INDEX('05_Theo_Doi_Gio_Cong_7_Ngay'!$R:$R,MATCH(IFERROR(INDEX('02_DS_Nhan_Viec'!$J:$J,MATCH($B149,'02_DS_Nhan_Viec'!$B:$B,0)),""),'05_Theo_Doi_Gio_Cong_7_Ngay'!$B:$B,0)),0),'06_DS_Chinh_Thuc'!$B:$B,0)),"Đang theo dõi"))))</f>
      </c>
    </row>
    <row r="150" ht="14.25" customHeight="1" spans="1:55" x14ac:dyDescent="0.25">
      <c r="A150" s="52">
        <f t="shared" si="0"/>
      </c>
      <c r="B150" s="52">
        <f t="shared" si="1"/>
      </c>
      <c r="C150" s="53"/>
      <c r="D150" s="54"/>
      <c r="E150" s="55"/>
      <c r="F150" s="56"/>
      <c r="G150" s="56"/>
      <c r="H150" s="56"/>
      <c r="I150" s="54"/>
      <c r="J150" s="57"/>
      <c r="K150" s="59"/>
      <c r="L150" s="54"/>
      <c r="M150" s="54"/>
      <c r="N150" s="54"/>
      <c r="O150" s="55"/>
      <c r="P150" s="54"/>
      <c r="Q150" s="58"/>
      <c r="R150" s="54"/>
      <c r="S150" s="54"/>
      <c r="T150" s="59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6"/>
      <c r="AH150" s="56"/>
      <c r="AI150" s="54"/>
      <c r="AJ150" s="54"/>
      <c r="AK150" s="54"/>
      <c r="AL150" s="56"/>
      <c r="AM150" s="56"/>
      <c r="AN150" s="54"/>
      <c r="AO150" s="56"/>
      <c r="AP150" s="54"/>
      <c r="AQ150" s="56"/>
      <c r="AR150" s="54"/>
      <c r="AS150" s="54"/>
      <c r="AT150" s="54"/>
      <c r="AU150" s="59"/>
      <c r="AV150" s="54"/>
      <c r="AW150" s="54"/>
      <c r="AX150" s="59"/>
      <c r="AY150" s="59"/>
      <c r="AZ150" s="59"/>
      <c r="BA150" s="60">
        <f>IFERROR(VLOOKUP(B150,'02_DS_Nhan_Viec'!B:L,5,0),"")</f>
      </c>
      <c r="BB150" s="54"/>
      <c r="BC150" s="61">
        <f t="array" ref="BC150">IF($B150="","",IF(IFERROR(INDEX('02_DS_Nhan_Viec'!$J:$J,MATCH($B150,'02_DS_Nhan_Viec'!$B:$B,0)),"")="","Đang theo dõi",IF(OR(IFERROR(INDEX('05_Theo_Doi_Gio_Cong_7_Ngay'!$R:$R,MATCH(IFERROR(INDEX('02_DS_Nhan_Viec'!$J:$J,MATCH($B150,'02_DS_Nhan_Viec'!$B:$B,0)),""),'05_Theo_Doi_Gio_Cong_7_Ngay'!$B:$B,0)),"")="",IFERROR(INDEX('05_Theo_Doi_Gio_Cong_7_Ngay'!$R:$R,MATCH(IFERROR(INDEX('02_DS_Nhan_Viec'!$J:$J,MATCH($B150,'02_DS_Nhan_Viec'!$B:$B,0)),""),'05_Theo_Doi_Gio_Cong_7_Ngay'!$B:$B,0)),0)=0),"Đang theo dõi",IFERROR(INDEX('06_DS_Chinh_Thuc'!$K:$K,MATCH(IFERROR(INDEX('05_Theo_Doi_Gio_Cong_7_Ngay'!$R:$R,MATCH(IFERROR(INDEX('02_DS_Nhan_Viec'!$J:$J,MATCH($B150,'02_DS_Nhan_Viec'!$B:$B,0)),""),'05_Theo_Doi_Gio_Cong_7_Ngay'!$B:$B,0)),0),'06_DS_Chinh_Thuc'!$B:$B,0)),"Đang theo dõi"))))</f>
      </c>
    </row>
    <row r="151" ht="14.25" customHeight="1" spans="1:55" x14ac:dyDescent="0.25">
      <c r="A151" s="52">
        <f t="shared" si="0"/>
      </c>
      <c r="B151" s="52">
        <f t="shared" si="1"/>
      </c>
      <c r="C151" s="53"/>
      <c r="D151" s="54"/>
      <c r="E151" s="55"/>
      <c r="F151" s="56"/>
      <c r="G151" s="56"/>
      <c r="H151" s="56"/>
      <c r="I151" s="54"/>
      <c r="J151" s="57"/>
      <c r="K151" s="59"/>
      <c r="L151" s="54"/>
      <c r="M151" s="54"/>
      <c r="N151" s="54"/>
      <c r="O151" s="55"/>
      <c r="P151" s="54"/>
      <c r="Q151" s="58"/>
      <c r="R151" s="54"/>
      <c r="S151" s="54"/>
      <c r="T151" s="59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6"/>
      <c r="AH151" s="56"/>
      <c r="AI151" s="54"/>
      <c r="AJ151" s="54"/>
      <c r="AK151" s="54"/>
      <c r="AL151" s="56"/>
      <c r="AM151" s="56"/>
      <c r="AN151" s="54"/>
      <c r="AO151" s="56"/>
      <c r="AP151" s="54"/>
      <c r="AQ151" s="56"/>
      <c r="AR151" s="54"/>
      <c r="AS151" s="54"/>
      <c r="AT151" s="54"/>
      <c r="AU151" s="59"/>
      <c r="AV151" s="54"/>
      <c r="AW151" s="54"/>
      <c r="AX151" s="59"/>
      <c r="AY151" s="59"/>
      <c r="AZ151" s="59"/>
      <c r="BA151" s="60">
        <f>IFERROR(VLOOKUP(B151,'02_DS_Nhan_Viec'!B:L,5,0),"")</f>
      </c>
      <c r="BB151" s="54"/>
      <c r="BC151" s="61">
        <f t="array" ref="BC151">IF($B151="","",IF(IFERROR(INDEX('02_DS_Nhan_Viec'!$J:$J,MATCH($B151,'02_DS_Nhan_Viec'!$B:$B,0)),"")="","Đang theo dõi",IF(OR(IFERROR(INDEX('05_Theo_Doi_Gio_Cong_7_Ngay'!$R:$R,MATCH(IFERROR(INDEX('02_DS_Nhan_Viec'!$J:$J,MATCH($B151,'02_DS_Nhan_Viec'!$B:$B,0)),""),'05_Theo_Doi_Gio_Cong_7_Ngay'!$B:$B,0)),"")="",IFERROR(INDEX('05_Theo_Doi_Gio_Cong_7_Ngay'!$R:$R,MATCH(IFERROR(INDEX('02_DS_Nhan_Viec'!$J:$J,MATCH($B151,'02_DS_Nhan_Viec'!$B:$B,0)),""),'05_Theo_Doi_Gio_Cong_7_Ngay'!$B:$B,0)),0)=0),"Đang theo dõi",IFERROR(INDEX('06_DS_Chinh_Thuc'!$K:$K,MATCH(IFERROR(INDEX('05_Theo_Doi_Gio_Cong_7_Ngay'!$R:$R,MATCH(IFERROR(INDEX('02_DS_Nhan_Viec'!$J:$J,MATCH($B151,'02_DS_Nhan_Viec'!$B:$B,0)),""),'05_Theo_Doi_Gio_Cong_7_Ngay'!$B:$B,0)),0),'06_DS_Chinh_Thuc'!$B:$B,0)),"Đang theo dõi"))))</f>
      </c>
    </row>
    <row r="152" ht="14.25" customHeight="1" spans="1:17" x14ac:dyDescent="0.25">
      <c r="E152" s="62"/>
      <c r="J152" s="62"/>
      <c r="K152" s="63"/>
      <c r="O152" s="62"/>
      <c r="Q152" s="62"/>
    </row>
    <row r="153" ht="14.25" customHeight="1" spans="1:17" x14ac:dyDescent="0.25">
      <c r="E153" s="62"/>
      <c r="J153" s="62"/>
      <c r="K153" s="63"/>
      <c r="O153" s="62"/>
      <c r="Q153" s="62"/>
    </row>
    <row r="154" ht="14.25" customHeight="1" spans="1:17" x14ac:dyDescent="0.25">
      <c r="E154" s="62"/>
      <c r="J154" s="62"/>
      <c r="K154" s="63"/>
      <c r="O154" s="62"/>
      <c r="Q154" s="62"/>
    </row>
    <row r="155" ht="14.25" customHeight="1" spans="1:17" x14ac:dyDescent="0.25">
      <c r="E155" s="62"/>
      <c r="J155" s="62"/>
      <c r="K155" s="63"/>
      <c r="O155" s="62"/>
      <c r="Q155" s="62"/>
    </row>
    <row r="156" ht="14.25" customHeight="1" spans="1:17" x14ac:dyDescent="0.25">
      <c r="E156" s="62"/>
      <c r="J156" s="62"/>
      <c r="K156" s="63"/>
      <c r="O156" s="62"/>
      <c r="Q156" s="62"/>
    </row>
    <row r="157" ht="14.25" customHeight="1" spans="1:17" x14ac:dyDescent="0.25">
      <c r="E157" s="62"/>
      <c r="J157" s="62"/>
      <c r="K157" s="63"/>
      <c r="O157" s="62"/>
      <c r="Q157" s="62"/>
    </row>
    <row r="158" ht="14.25" customHeight="1" spans="1:17" x14ac:dyDescent="0.25">
      <c r="E158" s="62"/>
      <c r="J158" s="62"/>
      <c r="K158" s="63"/>
      <c r="O158" s="62"/>
      <c r="Q158" s="62"/>
    </row>
    <row r="159" ht="14.25" customHeight="1" spans="1:17" x14ac:dyDescent="0.25">
      <c r="E159" s="62"/>
      <c r="J159" s="62"/>
      <c r="K159" s="63"/>
      <c r="O159" s="62"/>
      <c r="Q159" s="62"/>
    </row>
    <row r="160" ht="14.25" customHeight="1" spans="1:17" x14ac:dyDescent="0.25">
      <c r="E160" s="62"/>
      <c r="J160" s="62"/>
      <c r="K160" s="63"/>
      <c r="O160" s="62"/>
      <c r="Q160" s="62"/>
    </row>
    <row r="161" ht="14.25" customHeight="1" spans="1:17" x14ac:dyDescent="0.25">
      <c r="E161" s="62"/>
      <c r="J161" s="62"/>
      <c r="K161" s="63"/>
      <c r="O161" s="62"/>
      <c r="Q161" s="62"/>
    </row>
    <row r="162" ht="14.25" customHeight="1" spans="1:17" x14ac:dyDescent="0.25">
      <c r="E162" s="62"/>
      <c r="J162" s="62"/>
      <c r="K162" s="63"/>
      <c r="O162" s="62"/>
      <c r="Q162" s="62"/>
    </row>
    <row r="163" ht="14.25" customHeight="1" spans="1:17" x14ac:dyDescent="0.25">
      <c r="E163" s="62"/>
      <c r="J163" s="62"/>
      <c r="K163" s="63"/>
      <c r="O163" s="62"/>
      <c r="Q163" s="62"/>
    </row>
    <row r="164" ht="14.25" customHeight="1" spans="1:17" x14ac:dyDescent="0.25">
      <c r="E164" s="62"/>
      <c r="J164" s="62"/>
      <c r="K164" s="63"/>
      <c r="O164" s="62"/>
      <c r="Q164" s="62"/>
    </row>
    <row r="165" ht="14.25" customHeight="1" spans="1:17" x14ac:dyDescent="0.25">
      <c r="E165" s="62"/>
      <c r="J165" s="62"/>
      <c r="K165" s="63"/>
      <c r="O165" s="62"/>
      <c r="Q165" s="62"/>
    </row>
    <row r="166" ht="14.25" customHeight="1" spans="1:17" x14ac:dyDescent="0.25">
      <c r="E166" s="62"/>
      <c r="J166" s="62"/>
      <c r="K166" s="63"/>
      <c r="O166" s="62"/>
      <c r="Q166" s="62"/>
    </row>
    <row r="167" ht="14.25" customHeight="1" spans="1:17" x14ac:dyDescent="0.25">
      <c r="E167" s="62"/>
      <c r="J167" s="62"/>
      <c r="K167" s="63"/>
      <c r="O167" s="62"/>
      <c r="Q167" s="62"/>
    </row>
    <row r="168" ht="14.25" customHeight="1" spans="1:17" x14ac:dyDescent="0.25">
      <c r="E168" s="62"/>
      <c r="J168" s="62"/>
      <c r="K168" s="63"/>
      <c r="O168" s="62"/>
      <c r="Q168" s="62"/>
    </row>
    <row r="169" ht="14.25" customHeight="1" spans="1:17" x14ac:dyDescent="0.25">
      <c r="E169" s="62"/>
      <c r="J169" s="62"/>
      <c r="K169" s="63"/>
      <c r="O169" s="62"/>
      <c r="Q169" s="62"/>
    </row>
    <row r="170" ht="14.25" customHeight="1" spans="1:17" x14ac:dyDescent="0.25">
      <c r="E170" s="62"/>
      <c r="J170" s="62"/>
      <c r="K170" s="63"/>
      <c r="O170" s="62"/>
      <c r="Q170" s="62"/>
    </row>
    <row r="171" ht="14.25" customHeight="1" spans="1:17" x14ac:dyDescent="0.25">
      <c r="E171" s="62"/>
      <c r="J171" s="62"/>
      <c r="K171" s="63"/>
      <c r="O171" s="62"/>
      <c r="Q171" s="62"/>
    </row>
    <row r="172" ht="14.25" customHeight="1" spans="1:17" x14ac:dyDescent="0.25">
      <c r="E172" s="62"/>
      <c r="J172" s="62"/>
      <c r="K172" s="63"/>
      <c r="O172" s="62"/>
      <c r="Q172" s="62"/>
    </row>
    <row r="173" ht="14.25" customHeight="1" spans="1:17" x14ac:dyDescent="0.25">
      <c r="E173" s="62"/>
      <c r="J173" s="62"/>
      <c r="K173" s="63"/>
      <c r="O173" s="62"/>
      <c r="Q173" s="62"/>
    </row>
    <row r="174" ht="14.25" customHeight="1" spans="1:17" x14ac:dyDescent="0.25">
      <c r="E174" s="62"/>
      <c r="J174" s="62"/>
      <c r="K174" s="63"/>
      <c r="O174" s="62"/>
      <c r="Q174" s="62"/>
    </row>
    <row r="175" ht="14.25" customHeight="1" spans="1:17" x14ac:dyDescent="0.25">
      <c r="E175" s="62"/>
      <c r="J175" s="62"/>
      <c r="K175" s="63"/>
      <c r="O175" s="62"/>
      <c r="Q175" s="62"/>
    </row>
    <row r="176" ht="14.25" customHeight="1" spans="1:17" x14ac:dyDescent="0.25">
      <c r="E176" s="62"/>
      <c r="J176" s="62"/>
      <c r="K176" s="63"/>
      <c r="O176" s="62"/>
      <c r="Q176" s="62"/>
    </row>
    <row r="177" ht="14.25" customHeight="1" spans="1:17" x14ac:dyDescent="0.25">
      <c r="E177" s="62"/>
      <c r="J177" s="62"/>
      <c r="K177" s="63"/>
      <c r="O177" s="62"/>
      <c r="Q177" s="62"/>
    </row>
    <row r="178" ht="14.25" customHeight="1" spans="1:17" x14ac:dyDescent="0.25">
      <c r="E178" s="62"/>
      <c r="J178" s="62"/>
      <c r="K178" s="63"/>
      <c r="O178" s="62"/>
      <c r="Q178" s="62"/>
    </row>
    <row r="179" ht="14.25" customHeight="1" spans="1:17" x14ac:dyDescent="0.25">
      <c r="E179" s="62"/>
      <c r="J179" s="62"/>
      <c r="K179" s="63"/>
      <c r="O179" s="62"/>
      <c r="Q179" s="62"/>
    </row>
    <row r="180" ht="14.25" customHeight="1" spans="1:17" x14ac:dyDescent="0.25">
      <c r="E180" s="62"/>
      <c r="J180" s="62"/>
      <c r="K180" s="63"/>
      <c r="O180" s="62"/>
      <c r="Q180" s="62"/>
    </row>
    <row r="181" ht="14.25" customHeight="1" spans="1:17" x14ac:dyDescent="0.25">
      <c r="E181" s="62"/>
      <c r="J181" s="62"/>
      <c r="K181" s="63"/>
      <c r="O181" s="62"/>
      <c r="Q181" s="62"/>
    </row>
    <row r="182" ht="14.25" customHeight="1" spans="1:17" x14ac:dyDescent="0.25">
      <c r="E182" s="62"/>
      <c r="J182" s="62"/>
      <c r="K182" s="63"/>
      <c r="O182" s="62"/>
      <c r="Q182" s="62"/>
    </row>
    <row r="183" ht="14.25" customHeight="1" spans="1:17" x14ac:dyDescent="0.25">
      <c r="E183" s="62"/>
      <c r="J183" s="62"/>
      <c r="K183" s="63"/>
      <c r="O183" s="62"/>
      <c r="Q183" s="62"/>
    </row>
    <row r="184" ht="14.25" customHeight="1" spans="1:17" x14ac:dyDescent="0.25">
      <c r="E184" s="62"/>
      <c r="J184" s="62"/>
      <c r="K184" s="63"/>
      <c r="O184" s="62"/>
      <c r="Q184" s="62"/>
    </row>
    <row r="185" ht="14.25" customHeight="1" spans="1:17" x14ac:dyDescent="0.25">
      <c r="E185" s="62"/>
      <c r="J185" s="62"/>
      <c r="K185" s="63"/>
      <c r="O185" s="62"/>
      <c r="Q185" s="62"/>
    </row>
    <row r="186" ht="14.25" customHeight="1" spans="1:17" x14ac:dyDescent="0.25">
      <c r="E186" s="62"/>
      <c r="J186" s="62"/>
      <c r="K186" s="63"/>
      <c r="O186" s="62"/>
      <c r="Q186" s="62"/>
    </row>
    <row r="187" ht="14.25" customHeight="1" spans="1:17" x14ac:dyDescent="0.25">
      <c r="E187" s="62"/>
      <c r="J187" s="62"/>
      <c r="K187" s="63"/>
      <c r="O187" s="62"/>
      <c r="Q187" s="62"/>
    </row>
    <row r="188" ht="14.25" customHeight="1" spans="1:17" x14ac:dyDescent="0.25">
      <c r="E188" s="62"/>
      <c r="J188" s="62"/>
      <c r="K188" s="63"/>
      <c r="O188" s="62"/>
      <c r="Q188" s="62"/>
    </row>
    <row r="189" ht="14.25" customHeight="1" spans="1:17" x14ac:dyDescent="0.25">
      <c r="E189" s="62"/>
      <c r="J189" s="62"/>
      <c r="K189" s="63"/>
      <c r="O189" s="62"/>
      <c r="Q189" s="62"/>
    </row>
    <row r="190" ht="14.25" customHeight="1" spans="1:17" x14ac:dyDescent="0.25">
      <c r="E190" s="62"/>
      <c r="J190" s="62"/>
      <c r="K190" s="63"/>
      <c r="O190" s="62"/>
      <c r="Q190" s="62"/>
    </row>
    <row r="191" ht="14.25" customHeight="1" spans="1:17" x14ac:dyDescent="0.25">
      <c r="E191" s="62"/>
      <c r="J191" s="62"/>
      <c r="K191" s="63"/>
      <c r="O191" s="62"/>
      <c r="Q191" s="62"/>
    </row>
    <row r="192" ht="14.25" customHeight="1" spans="1:17" x14ac:dyDescent="0.25">
      <c r="E192" s="62"/>
      <c r="J192" s="62"/>
      <c r="K192" s="63"/>
      <c r="O192" s="62"/>
      <c r="Q192" s="62"/>
    </row>
    <row r="193" ht="14.25" customHeight="1" spans="1:17" x14ac:dyDescent="0.25">
      <c r="E193" s="62"/>
      <c r="J193" s="62"/>
      <c r="K193" s="63"/>
      <c r="O193" s="62"/>
      <c r="Q193" s="62"/>
    </row>
    <row r="194" ht="14.25" customHeight="1" spans="1:17" x14ac:dyDescent="0.25">
      <c r="E194" s="62"/>
      <c r="J194" s="62"/>
      <c r="K194" s="63"/>
      <c r="O194" s="62"/>
      <c r="Q194" s="62"/>
    </row>
    <row r="195" ht="14.25" customHeight="1" spans="1:17" x14ac:dyDescent="0.25">
      <c r="E195" s="62"/>
      <c r="J195" s="62"/>
      <c r="K195" s="63"/>
      <c r="O195" s="62"/>
      <c r="Q195" s="62"/>
    </row>
    <row r="196" ht="14.25" customHeight="1" spans="1:17" x14ac:dyDescent="0.25">
      <c r="E196" s="62"/>
      <c r="J196" s="62"/>
      <c r="K196" s="63"/>
      <c r="O196" s="62"/>
      <c r="Q196" s="62"/>
    </row>
    <row r="197" ht="14.25" customHeight="1" spans="1:17" x14ac:dyDescent="0.25">
      <c r="E197" s="62"/>
      <c r="J197" s="62"/>
      <c r="K197" s="63"/>
      <c r="O197" s="62"/>
      <c r="Q197" s="62"/>
    </row>
    <row r="198" ht="14.25" customHeight="1" spans="1:17" x14ac:dyDescent="0.25">
      <c r="E198" s="62"/>
      <c r="J198" s="62"/>
      <c r="K198" s="63"/>
      <c r="O198" s="62"/>
      <c r="Q198" s="62"/>
    </row>
    <row r="199" ht="14.25" customHeight="1" spans="1:17" x14ac:dyDescent="0.25">
      <c r="E199" s="62"/>
      <c r="J199" s="62"/>
      <c r="K199" s="63"/>
      <c r="O199" s="62"/>
      <c r="Q199" s="62"/>
    </row>
    <row r="200" ht="14.25" customHeight="1" spans="1:17" x14ac:dyDescent="0.25">
      <c r="E200" s="62"/>
      <c r="J200" s="62"/>
      <c r="K200" s="63"/>
      <c r="O200" s="62"/>
      <c r="Q200" s="62"/>
    </row>
    <row r="201" ht="14.25" customHeight="1" spans="1:17" x14ac:dyDescent="0.25">
      <c r="E201" s="62"/>
      <c r="J201" s="62"/>
      <c r="K201" s="63"/>
      <c r="O201" s="62"/>
      <c r="Q201" s="62"/>
    </row>
    <row r="202" ht="14.25" customHeight="1" spans="1:17" x14ac:dyDescent="0.25">
      <c r="E202" s="62"/>
      <c r="J202" s="62"/>
      <c r="K202" s="63"/>
      <c r="O202" s="62"/>
      <c r="Q202" s="62"/>
    </row>
    <row r="203" ht="14.25" customHeight="1" spans="1:17" x14ac:dyDescent="0.25">
      <c r="E203" s="62"/>
      <c r="J203" s="62"/>
      <c r="K203" s="63"/>
      <c r="O203" s="62"/>
      <c r="Q203" s="62"/>
    </row>
    <row r="204" ht="14.25" customHeight="1" spans="1:17" x14ac:dyDescent="0.25">
      <c r="E204" s="62"/>
      <c r="J204" s="62"/>
      <c r="K204" s="63"/>
      <c r="O204" s="62"/>
      <c r="Q204" s="62"/>
    </row>
    <row r="205" ht="14.25" customHeight="1" spans="1:17" x14ac:dyDescent="0.25">
      <c r="E205" s="62"/>
      <c r="J205" s="62"/>
      <c r="K205" s="63"/>
      <c r="O205" s="62"/>
      <c r="Q205" s="62"/>
    </row>
    <row r="206" ht="14.25" customHeight="1" spans="1:17" x14ac:dyDescent="0.25">
      <c r="E206" s="62"/>
      <c r="J206" s="62"/>
      <c r="K206" s="63"/>
      <c r="O206" s="62"/>
      <c r="Q206" s="62"/>
    </row>
    <row r="207" ht="14.25" customHeight="1" spans="1:17" x14ac:dyDescent="0.25">
      <c r="E207" s="62"/>
      <c r="J207" s="62"/>
      <c r="K207" s="63"/>
      <c r="O207" s="62"/>
      <c r="Q207" s="62"/>
    </row>
    <row r="208" ht="14.25" customHeight="1" spans="1:17" x14ac:dyDescent="0.25">
      <c r="E208" s="62"/>
      <c r="J208" s="62"/>
      <c r="K208" s="63"/>
      <c r="O208" s="62"/>
      <c r="Q208" s="62"/>
    </row>
    <row r="209" ht="14.25" customHeight="1" spans="1:17" x14ac:dyDescent="0.25">
      <c r="E209" s="62"/>
      <c r="J209" s="62"/>
      <c r="K209" s="63"/>
      <c r="O209" s="62"/>
      <c r="Q209" s="62"/>
    </row>
    <row r="210" ht="14.25" customHeight="1" spans="1:17" x14ac:dyDescent="0.25">
      <c r="E210" s="62"/>
      <c r="J210" s="62"/>
      <c r="K210" s="63"/>
      <c r="O210" s="62"/>
      <c r="Q210" s="62"/>
    </row>
    <row r="211" ht="14.25" customHeight="1" spans="1:17" x14ac:dyDescent="0.25">
      <c r="E211" s="62"/>
      <c r="J211" s="62"/>
      <c r="K211" s="63"/>
      <c r="O211" s="62"/>
      <c r="Q211" s="62"/>
    </row>
    <row r="212" ht="14.25" customHeight="1" spans="1:17" x14ac:dyDescent="0.25">
      <c r="E212" s="62"/>
      <c r="J212" s="62"/>
      <c r="K212" s="63"/>
      <c r="O212" s="62"/>
      <c r="Q212" s="62"/>
    </row>
    <row r="213" ht="14.25" customHeight="1" spans="1:17" x14ac:dyDescent="0.25">
      <c r="E213" s="62"/>
      <c r="J213" s="62"/>
      <c r="K213" s="63"/>
      <c r="O213" s="62"/>
      <c r="Q213" s="62"/>
    </row>
    <row r="214" ht="14.25" customHeight="1" spans="1:17" x14ac:dyDescent="0.25">
      <c r="E214" s="62"/>
      <c r="J214" s="62"/>
      <c r="K214" s="63"/>
      <c r="O214" s="62"/>
      <c r="Q214" s="62"/>
    </row>
    <row r="215" ht="14.25" customHeight="1" spans="1:17" x14ac:dyDescent="0.25">
      <c r="E215" s="62"/>
      <c r="J215" s="62"/>
      <c r="K215" s="63"/>
      <c r="O215" s="62"/>
      <c r="Q215" s="62"/>
    </row>
    <row r="216" ht="14.25" customHeight="1" spans="1:17" x14ac:dyDescent="0.25">
      <c r="E216" s="62"/>
      <c r="J216" s="62"/>
      <c r="K216" s="63"/>
      <c r="O216" s="62"/>
      <c r="Q216" s="62"/>
    </row>
    <row r="217" ht="14.25" customHeight="1" spans="1:17" x14ac:dyDescent="0.25">
      <c r="E217" s="62"/>
      <c r="J217" s="62"/>
      <c r="K217" s="63"/>
      <c r="O217" s="62"/>
      <c r="Q217" s="62"/>
    </row>
    <row r="218" ht="14.25" customHeight="1" spans="1:17" x14ac:dyDescent="0.25">
      <c r="E218" s="62"/>
      <c r="J218" s="62"/>
      <c r="K218" s="63"/>
      <c r="O218" s="62"/>
      <c r="Q218" s="62"/>
    </row>
    <row r="219" ht="14.25" customHeight="1" spans="1:17" x14ac:dyDescent="0.25">
      <c r="E219" s="62"/>
      <c r="J219" s="62"/>
      <c r="K219" s="63"/>
      <c r="O219" s="62"/>
      <c r="Q219" s="62"/>
    </row>
    <row r="220" ht="14.25" customHeight="1" spans="1:17" x14ac:dyDescent="0.25">
      <c r="E220" s="62"/>
      <c r="J220" s="62"/>
      <c r="K220" s="63"/>
      <c r="O220" s="62"/>
      <c r="Q220" s="62"/>
    </row>
    <row r="221" ht="14.25" customHeight="1" spans="1:17" x14ac:dyDescent="0.25">
      <c r="E221" s="62"/>
      <c r="J221" s="62"/>
      <c r="K221" s="63"/>
      <c r="O221" s="62"/>
      <c r="Q221" s="62"/>
    </row>
    <row r="222" ht="14.25" customHeight="1" spans="1:17" x14ac:dyDescent="0.25">
      <c r="E222" s="62"/>
      <c r="J222" s="62"/>
      <c r="K222" s="63"/>
      <c r="O222" s="62"/>
      <c r="Q222" s="62"/>
    </row>
    <row r="223" ht="14.25" customHeight="1" spans="1:17" x14ac:dyDescent="0.25">
      <c r="E223" s="62"/>
      <c r="J223" s="62"/>
      <c r="K223" s="63"/>
      <c r="O223" s="62"/>
      <c r="Q223" s="62"/>
    </row>
    <row r="224" ht="14.25" customHeight="1" spans="1:17" x14ac:dyDescent="0.25">
      <c r="E224" s="62"/>
      <c r="J224" s="62"/>
      <c r="K224" s="63"/>
      <c r="O224" s="62"/>
      <c r="Q224" s="62"/>
    </row>
    <row r="225" ht="14.25" customHeight="1" spans="1:17" x14ac:dyDescent="0.25">
      <c r="E225" s="62"/>
      <c r="J225" s="62"/>
      <c r="K225" s="63"/>
      <c r="O225" s="62"/>
      <c r="Q225" s="62"/>
    </row>
    <row r="226" ht="14.25" customHeight="1" spans="1:17" x14ac:dyDescent="0.25">
      <c r="E226" s="62"/>
      <c r="J226" s="62"/>
      <c r="K226" s="63"/>
      <c r="O226" s="62"/>
      <c r="Q226" s="62"/>
    </row>
    <row r="227" ht="14.25" customHeight="1" spans="1:17" x14ac:dyDescent="0.25">
      <c r="E227" s="62"/>
      <c r="J227" s="62"/>
      <c r="K227" s="63"/>
      <c r="O227" s="62"/>
      <c r="Q227" s="62"/>
    </row>
    <row r="228" ht="14.25" customHeight="1" spans="1:17" x14ac:dyDescent="0.25">
      <c r="E228" s="62"/>
      <c r="J228" s="62"/>
      <c r="K228" s="63"/>
      <c r="O228" s="62"/>
      <c r="Q228" s="62"/>
    </row>
    <row r="229" ht="14.25" customHeight="1" spans="1:17" x14ac:dyDescent="0.25">
      <c r="E229" s="62"/>
      <c r="J229" s="62"/>
      <c r="K229" s="63"/>
      <c r="O229" s="62"/>
      <c r="Q229" s="62"/>
    </row>
    <row r="230" ht="14.25" customHeight="1" spans="1:17" x14ac:dyDescent="0.25">
      <c r="E230" s="62"/>
      <c r="J230" s="62"/>
      <c r="K230" s="63"/>
      <c r="O230" s="62"/>
      <c r="Q230" s="62"/>
    </row>
    <row r="231" ht="14.25" customHeight="1" spans="1:17" x14ac:dyDescent="0.25">
      <c r="E231" s="62"/>
      <c r="J231" s="62"/>
      <c r="K231" s="63"/>
      <c r="O231" s="62"/>
      <c r="Q231" s="62"/>
    </row>
    <row r="232" ht="14.25" customHeight="1" spans="1:17" x14ac:dyDescent="0.25">
      <c r="E232" s="62"/>
      <c r="J232" s="62"/>
      <c r="K232" s="63"/>
      <c r="O232" s="62"/>
      <c r="Q232" s="62"/>
    </row>
    <row r="233" ht="14.25" customHeight="1" spans="1:17" x14ac:dyDescent="0.25">
      <c r="E233" s="62"/>
      <c r="J233" s="62"/>
      <c r="K233" s="63"/>
      <c r="O233" s="62"/>
      <c r="Q233" s="62"/>
    </row>
    <row r="234" ht="14.25" customHeight="1" spans="1:17" x14ac:dyDescent="0.25">
      <c r="E234" s="62"/>
      <c r="J234" s="62"/>
      <c r="K234" s="63"/>
      <c r="O234" s="62"/>
      <c r="Q234" s="62"/>
    </row>
    <row r="235" ht="14.25" customHeight="1" spans="1:17" x14ac:dyDescent="0.25">
      <c r="E235" s="62"/>
      <c r="J235" s="62"/>
      <c r="K235" s="63"/>
      <c r="O235" s="62"/>
      <c r="Q235" s="62"/>
    </row>
    <row r="236" ht="14.25" customHeight="1" spans="1:17" x14ac:dyDescent="0.25">
      <c r="E236" s="62"/>
      <c r="J236" s="62"/>
      <c r="K236" s="63"/>
      <c r="O236" s="62"/>
      <c r="Q236" s="62"/>
    </row>
    <row r="237" ht="14.25" customHeight="1" spans="1:17" x14ac:dyDescent="0.25">
      <c r="E237" s="62"/>
      <c r="J237" s="62"/>
      <c r="K237" s="63"/>
      <c r="O237" s="62"/>
      <c r="Q237" s="62"/>
    </row>
    <row r="238" ht="14.25" customHeight="1" spans="1:17" x14ac:dyDescent="0.25">
      <c r="E238" s="62"/>
      <c r="J238" s="62"/>
      <c r="K238" s="63"/>
      <c r="O238" s="62"/>
      <c r="Q238" s="62"/>
    </row>
    <row r="239" ht="14.25" customHeight="1" spans="1:17" x14ac:dyDescent="0.25">
      <c r="E239" s="62"/>
      <c r="J239" s="62"/>
      <c r="K239" s="63"/>
      <c r="O239" s="62"/>
      <c r="Q239" s="62"/>
    </row>
    <row r="240" ht="14.25" customHeight="1" spans="1:17" x14ac:dyDescent="0.25">
      <c r="E240" s="62"/>
      <c r="J240" s="62"/>
      <c r="K240" s="63"/>
      <c r="O240" s="62"/>
      <c r="Q240" s="62"/>
    </row>
    <row r="241" ht="14.25" customHeight="1" spans="1:17" x14ac:dyDescent="0.25">
      <c r="E241" s="62"/>
      <c r="J241" s="62"/>
      <c r="K241" s="63"/>
      <c r="O241" s="62"/>
      <c r="Q241" s="62"/>
    </row>
    <row r="242" ht="14.25" customHeight="1" spans="1:17" x14ac:dyDescent="0.25">
      <c r="E242" s="62"/>
      <c r="J242" s="62"/>
      <c r="K242" s="63"/>
      <c r="O242" s="62"/>
      <c r="Q242" s="62"/>
    </row>
    <row r="243" ht="14.25" customHeight="1" spans="1:17" x14ac:dyDescent="0.25">
      <c r="E243" s="62"/>
      <c r="J243" s="62"/>
      <c r="K243" s="63"/>
      <c r="O243" s="62"/>
      <c r="Q243" s="62"/>
    </row>
    <row r="244" ht="14.25" customHeight="1" spans="1:17" x14ac:dyDescent="0.25">
      <c r="E244" s="62"/>
      <c r="J244" s="62"/>
      <c r="K244" s="63"/>
      <c r="O244" s="62"/>
      <c r="Q244" s="62"/>
    </row>
    <row r="245" ht="14.25" customHeight="1" spans="1:17" x14ac:dyDescent="0.25">
      <c r="E245" s="62"/>
      <c r="J245" s="62"/>
      <c r="K245" s="63"/>
      <c r="O245" s="62"/>
      <c r="Q245" s="62"/>
    </row>
    <row r="246" ht="14.25" customHeight="1" spans="1:17" x14ac:dyDescent="0.25">
      <c r="E246" s="62"/>
      <c r="J246" s="62"/>
      <c r="K246" s="63"/>
      <c r="O246" s="62"/>
      <c r="Q246" s="62"/>
    </row>
    <row r="247" ht="14.25" customHeight="1" spans="1:17" x14ac:dyDescent="0.25">
      <c r="E247" s="62"/>
      <c r="J247" s="62"/>
      <c r="K247" s="63"/>
      <c r="O247" s="62"/>
      <c r="Q247" s="62"/>
    </row>
    <row r="248" ht="14.25" customHeight="1" spans="1:17" x14ac:dyDescent="0.25">
      <c r="E248" s="62"/>
      <c r="J248" s="62"/>
      <c r="K248" s="63"/>
      <c r="O248" s="62"/>
      <c r="Q248" s="62"/>
    </row>
    <row r="249" ht="14.25" customHeight="1" spans="1:17" x14ac:dyDescent="0.25">
      <c r="E249" s="62"/>
      <c r="J249" s="62"/>
      <c r="K249" s="63"/>
      <c r="O249" s="62"/>
      <c r="Q249" s="62"/>
    </row>
    <row r="250" ht="14.25" customHeight="1" spans="1:17" x14ac:dyDescent="0.25">
      <c r="E250" s="62"/>
      <c r="J250" s="62"/>
      <c r="K250" s="63"/>
      <c r="O250" s="62"/>
      <c r="Q250" s="62"/>
    </row>
    <row r="251" ht="14.25" customHeight="1" spans="1:17" x14ac:dyDescent="0.25">
      <c r="E251" s="62"/>
      <c r="J251" s="62"/>
      <c r="K251" s="63"/>
      <c r="O251" s="62"/>
      <c r="Q251" s="62"/>
    </row>
    <row r="252" ht="14.25" customHeight="1" spans="1:17" x14ac:dyDescent="0.25">
      <c r="E252" s="62"/>
      <c r="J252" s="62"/>
      <c r="K252" s="63"/>
      <c r="O252" s="62"/>
      <c r="Q252" s="62"/>
    </row>
    <row r="253" ht="14.25" customHeight="1" spans="1:17" x14ac:dyDescent="0.25">
      <c r="E253" s="62"/>
      <c r="J253" s="62"/>
      <c r="K253" s="63"/>
      <c r="O253" s="62"/>
      <c r="Q253" s="62"/>
    </row>
    <row r="254" ht="14.25" customHeight="1" spans="1:17" x14ac:dyDescent="0.25">
      <c r="E254" s="62"/>
      <c r="J254" s="62"/>
      <c r="K254" s="63"/>
      <c r="O254" s="62"/>
      <c r="Q254" s="62"/>
    </row>
    <row r="255" ht="14.25" customHeight="1" spans="1:17" x14ac:dyDescent="0.25">
      <c r="E255" s="62"/>
      <c r="J255" s="62"/>
      <c r="K255" s="63"/>
      <c r="O255" s="62"/>
      <c r="Q255" s="62"/>
    </row>
    <row r="256" ht="14.25" customHeight="1" spans="1:17" x14ac:dyDescent="0.25">
      <c r="E256" s="62"/>
      <c r="J256" s="62"/>
      <c r="K256" s="63"/>
      <c r="O256" s="62"/>
      <c r="Q256" s="62"/>
    </row>
    <row r="257" ht="14.25" customHeight="1" spans="1:17" x14ac:dyDescent="0.25">
      <c r="E257" s="62"/>
      <c r="J257" s="62"/>
      <c r="K257" s="63"/>
      <c r="O257" s="62"/>
      <c r="Q257" s="62"/>
    </row>
    <row r="258" ht="14.25" customHeight="1" spans="1:17" x14ac:dyDescent="0.25">
      <c r="E258" s="62"/>
      <c r="J258" s="62"/>
      <c r="K258" s="63"/>
      <c r="O258" s="62"/>
      <c r="Q258" s="62"/>
    </row>
    <row r="259" ht="14.25" customHeight="1" spans="1:17" x14ac:dyDescent="0.25">
      <c r="E259" s="62"/>
      <c r="J259" s="62"/>
      <c r="K259" s="63"/>
      <c r="O259" s="62"/>
      <c r="Q259" s="62"/>
    </row>
    <row r="260" ht="14.25" customHeight="1" spans="1:17" x14ac:dyDescent="0.25">
      <c r="E260" s="62"/>
      <c r="J260" s="62"/>
      <c r="K260" s="63"/>
      <c r="O260" s="62"/>
      <c r="Q260" s="62"/>
    </row>
    <row r="261" ht="14.25" customHeight="1" spans="1:17" x14ac:dyDescent="0.25">
      <c r="E261" s="62"/>
      <c r="J261" s="62"/>
      <c r="K261" s="63"/>
      <c r="O261" s="62"/>
      <c r="Q261" s="62"/>
    </row>
    <row r="262" ht="14.25" customHeight="1" spans="1:17" x14ac:dyDescent="0.25">
      <c r="E262" s="62"/>
      <c r="J262" s="62"/>
      <c r="K262" s="63"/>
      <c r="O262" s="62"/>
      <c r="Q262" s="62"/>
    </row>
    <row r="263" ht="14.25" customHeight="1" spans="1:17" x14ac:dyDescent="0.25">
      <c r="E263" s="62"/>
      <c r="J263" s="62"/>
      <c r="K263" s="63"/>
      <c r="O263" s="62"/>
      <c r="Q263" s="62"/>
    </row>
    <row r="264" ht="14.25" customHeight="1" spans="1:17" x14ac:dyDescent="0.25">
      <c r="E264" s="62"/>
      <c r="J264" s="62"/>
      <c r="K264" s="63"/>
      <c r="O264" s="62"/>
      <c r="Q264" s="62"/>
    </row>
    <row r="265" ht="14.25" customHeight="1" spans="1:17" x14ac:dyDescent="0.25">
      <c r="E265" s="62"/>
      <c r="J265" s="62"/>
      <c r="K265" s="63"/>
      <c r="O265" s="62"/>
      <c r="Q265" s="62"/>
    </row>
    <row r="266" ht="14.25" customHeight="1" spans="1:17" x14ac:dyDescent="0.25">
      <c r="E266" s="62"/>
      <c r="J266" s="62"/>
      <c r="K266" s="63"/>
      <c r="O266" s="62"/>
      <c r="Q266" s="62"/>
    </row>
    <row r="267" ht="14.25" customHeight="1" spans="1:17" x14ac:dyDescent="0.25">
      <c r="E267" s="62"/>
      <c r="J267" s="62"/>
      <c r="K267" s="63"/>
      <c r="O267" s="62"/>
      <c r="Q267" s="62"/>
    </row>
    <row r="268" ht="14.25" customHeight="1" spans="1:17" x14ac:dyDescent="0.25">
      <c r="E268" s="62"/>
      <c r="J268" s="62"/>
      <c r="K268" s="63"/>
      <c r="O268" s="62"/>
      <c r="Q268" s="62"/>
    </row>
    <row r="269" ht="14.25" customHeight="1" spans="1:17" x14ac:dyDescent="0.25">
      <c r="E269" s="62"/>
      <c r="J269" s="62"/>
      <c r="K269" s="63"/>
      <c r="O269" s="62"/>
      <c r="Q269" s="62"/>
    </row>
    <row r="270" ht="14.25" customHeight="1" spans="1:17" x14ac:dyDescent="0.25">
      <c r="E270" s="62"/>
      <c r="J270" s="62"/>
      <c r="K270" s="63"/>
      <c r="O270" s="62"/>
      <c r="Q270" s="62"/>
    </row>
    <row r="271" ht="14.25" customHeight="1" spans="1:17" x14ac:dyDescent="0.25">
      <c r="E271" s="62"/>
      <c r="J271" s="62"/>
      <c r="K271" s="63"/>
      <c r="O271" s="62"/>
      <c r="Q271" s="62"/>
    </row>
    <row r="272" ht="14.25" customHeight="1" spans="1:17" x14ac:dyDescent="0.25">
      <c r="E272" s="62"/>
      <c r="J272" s="62"/>
      <c r="K272" s="63"/>
      <c r="O272" s="62"/>
      <c r="Q272" s="62"/>
    </row>
    <row r="273" ht="14.25" customHeight="1" spans="1:17" x14ac:dyDescent="0.25">
      <c r="E273" s="62"/>
      <c r="J273" s="62"/>
      <c r="K273" s="63"/>
      <c r="O273" s="62"/>
      <c r="Q273" s="62"/>
    </row>
    <row r="274" ht="14.25" customHeight="1" spans="1:17" x14ac:dyDescent="0.25">
      <c r="E274" s="62"/>
      <c r="J274" s="62"/>
      <c r="K274" s="63"/>
      <c r="O274" s="62"/>
      <c r="Q274" s="62"/>
    </row>
    <row r="275" ht="14.25" customHeight="1" spans="1:17" x14ac:dyDescent="0.25">
      <c r="E275" s="62"/>
      <c r="J275" s="62"/>
      <c r="K275" s="63"/>
      <c r="O275" s="62"/>
      <c r="Q275" s="62"/>
    </row>
    <row r="276" ht="14.25" customHeight="1" spans="1:17" x14ac:dyDescent="0.25">
      <c r="E276" s="62"/>
      <c r="J276" s="62"/>
      <c r="K276" s="63"/>
      <c r="O276" s="62"/>
      <c r="Q276" s="62"/>
    </row>
    <row r="277" ht="14.25" customHeight="1" spans="1:17" x14ac:dyDescent="0.25">
      <c r="E277" s="62"/>
      <c r="J277" s="62"/>
      <c r="K277" s="63"/>
      <c r="O277" s="62"/>
      <c r="Q277" s="62"/>
    </row>
    <row r="278" ht="14.25" customHeight="1" spans="1:17" x14ac:dyDescent="0.25">
      <c r="E278" s="62"/>
      <c r="J278" s="62"/>
      <c r="K278" s="63"/>
      <c r="O278" s="62"/>
      <c r="Q278" s="62"/>
    </row>
    <row r="279" ht="14.25" customHeight="1" spans="1:17" x14ac:dyDescent="0.25">
      <c r="E279" s="62"/>
      <c r="J279" s="62"/>
      <c r="K279" s="63"/>
      <c r="O279" s="62"/>
      <c r="Q279" s="62"/>
    </row>
    <row r="280" ht="14.25" customHeight="1" spans="1:17" x14ac:dyDescent="0.25">
      <c r="E280" s="62"/>
      <c r="J280" s="62"/>
      <c r="K280" s="63"/>
      <c r="O280" s="62"/>
      <c r="Q280" s="62"/>
    </row>
    <row r="281" ht="14.25" customHeight="1" spans="1:17" x14ac:dyDescent="0.25">
      <c r="E281" s="62"/>
      <c r="J281" s="62"/>
      <c r="K281" s="63"/>
      <c r="O281" s="62"/>
      <c r="Q281" s="62"/>
    </row>
    <row r="282" ht="14.25" customHeight="1" spans="1:17" x14ac:dyDescent="0.25">
      <c r="E282" s="62"/>
      <c r="J282" s="62"/>
      <c r="K282" s="63"/>
      <c r="O282" s="62"/>
      <c r="Q282" s="62"/>
    </row>
    <row r="283" ht="14.25" customHeight="1" spans="1:17" x14ac:dyDescent="0.25">
      <c r="E283" s="62"/>
      <c r="J283" s="62"/>
      <c r="K283" s="63"/>
      <c r="O283" s="62"/>
      <c r="Q283" s="62"/>
    </row>
    <row r="284" ht="14.25" customHeight="1" spans="1:17" x14ac:dyDescent="0.25">
      <c r="E284" s="62"/>
      <c r="J284" s="62"/>
      <c r="K284" s="63"/>
      <c r="O284" s="62"/>
      <c r="Q284" s="62"/>
    </row>
    <row r="285" ht="14.25" customHeight="1" spans="1:17" x14ac:dyDescent="0.25">
      <c r="E285" s="62"/>
      <c r="J285" s="62"/>
      <c r="K285" s="63"/>
      <c r="O285" s="62"/>
      <c r="Q285" s="62"/>
    </row>
    <row r="286" ht="14.25" customHeight="1" spans="1:17" x14ac:dyDescent="0.25">
      <c r="E286" s="62"/>
      <c r="J286" s="62"/>
      <c r="K286" s="63"/>
      <c r="O286" s="62"/>
      <c r="Q286" s="62"/>
    </row>
    <row r="287" ht="14.25" customHeight="1" spans="1:17" x14ac:dyDescent="0.25">
      <c r="E287" s="62"/>
      <c r="J287" s="62"/>
      <c r="K287" s="63"/>
      <c r="O287" s="62"/>
      <c r="Q287" s="62"/>
    </row>
    <row r="288" ht="14.25" customHeight="1" spans="1:17" x14ac:dyDescent="0.25">
      <c r="E288" s="62"/>
      <c r="J288" s="62"/>
      <c r="K288" s="63"/>
      <c r="O288" s="62"/>
      <c r="Q288" s="62"/>
    </row>
    <row r="289" ht="14.25" customHeight="1" spans="1:17" x14ac:dyDescent="0.25">
      <c r="E289" s="62"/>
      <c r="J289" s="62"/>
      <c r="K289" s="63"/>
      <c r="O289" s="62"/>
      <c r="Q289" s="62"/>
    </row>
    <row r="290" ht="14.25" customHeight="1" spans="1:17" x14ac:dyDescent="0.25">
      <c r="E290" s="62"/>
      <c r="J290" s="62"/>
      <c r="K290" s="63"/>
      <c r="O290" s="62"/>
      <c r="Q290" s="62"/>
    </row>
    <row r="291" ht="14.25" customHeight="1" spans="1:17" x14ac:dyDescent="0.25">
      <c r="E291" s="62"/>
      <c r="J291" s="62"/>
      <c r="K291" s="63"/>
      <c r="O291" s="62"/>
      <c r="Q291" s="62"/>
    </row>
    <row r="292" ht="14.25" customHeight="1" spans="1:17" x14ac:dyDescent="0.25">
      <c r="E292" s="62"/>
      <c r="J292" s="62"/>
      <c r="K292" s="63"/>
      <c r="O292" s="62"/>
      <c r="Q292" s="62"/>
    </row>
    <row r="293" ht="14.25" customHeight="1" spans="1:17" x14ac:dyDescent="0.25">
      <c r="E293" s="62"/>
      <c r="J293" s="62"/>
      <c r="K293" s="63"/>
      <c r="O293" s="62"/>
      <c r="Q293" s="62"/>
    </row>
    <row r="294" ht="14.25" customHeight="1" spans="1:17" x14ac:dyDescent="0.25">
      <c r="E294" s="62"/>
      <c r="J294" s="62"/>
      <c r="K294" s="63"/>
      <c r="O294" s="62"/>
      <c r="Q294" s="62"/>
    </row>
    <row r="295" ht="14.25" customHeight="1" spans="1:17" x14ac:dyDescent="0.25">
      <c r="E295" s="62"/>
      <c r="J295" s="62"/>
      <c r="K295" s="63"/>
      <c r="O295" s="62"/>
      <c r="Q295" s="62"/>
    </row>
    <row r="296" ht="14.25" customHeight="1" spans="1:17" x14ac:dyDescent="0.25">
      <c r="E296" s="62"/>
      <c r="J296" s="62"/>
      <c r="K296" s="63"/>
      <c r="O296" s="62"/>
      <c r="Q296" s="62"/>
    </row>
    <row r="297" ht="14.25" customHeight="1" spans="1:17" x14ac:dyDescent="0.25">
      <c r="E297" s="62"/>
      <c r="J297" s="62"/>
      <c r="K297" s="63"/>
      <c r="O297" s="62"/>
      <c r="Q297" s="62"/>
    </row>
    <row r="298" ht="14.25" customHeight="1" spans="1:17" x14ac:dyDescent="0.25">
      <c r="E298" s="62"/>
      <c r="J298" s="62"/>
      <c r="K298" s="63"/>
      <c r="O298" s="62"/>
      <c r="Q298" s="62"/>
    </row>
    <row r="299" ht="14.25" customHeight="1" spans="1:17" x14ac:dyDescent="0.25">
      <c r="E299" s="62"/>
      <c r="J299" s="62"/>
      <c r="K299" s="63"/>
      <c r="O299" s="62"/>
      <c r="Q299" s="62"/>
    </row>
    <row r="300" ht="14.25" customHeight="1" spans="1:17" x14ac:dyDescent="0.25">
      <c r="E300" s="62"/>
      <c r="J300" s="62"/>
      <c r="K300" s="63"/>
      <c r="O300" s="62"/>
      <c r="Q300" s="62"/>
    </row>
    <row r="301" ht="14.25" customHeight="1" spans="1:17" x14ac:dyDescent="0.25">
      <c r="E301" s="62"/>
      <c r="J301" s="62"/>
      <c r="K301" s="63"/>
      <c r="O301" s="62"/>
      <c r="Q301" s="62"/>
    </row>
    <row r="302" ht="14.25" customHeight="1" spans="1:17" x14ac:dyDescent="0.25">
      <c r="E302" s="62"/>
      <c r="J302" s="62"/>
      <c r="K302" s="63"/>
      <c r="O302" s="62"/>
      <c r="Q302" s="62"/>
    </row>
    <row r="303" ht="14.25" customHeight="1" spans="1:17" x14ac:dyDescent="0.25">
      <c r="E303" s="62"/>
      <c r="J303" s="62"/>
      <c r="K303" s="63"/>
      <c r="O303" s="62"/>
      <c r="Q303" s="62"/>
    </row>
    <row r="304" ht="14.25" customHeight="1" spans="1:17" x14ac:dyDescent="0.25">
      <c r="E304" s="62"/>
      <c r="J304" s="62"/>
      <c r="K304" s="63"/>
      <c r="O304" s="62"/>
      <c r="Q304" s="62"/>
    </row>
    <row r="305" ht="14.25" customHeight="1" spans="1:17" x14ac:dyDescent="0.25">
      <c r="E305" s="62"/>
      <c r="J305" s="62"/>
      <c r="K305" s="63"/>
      <c r="O305" s="62"/>
      <c r="Q305" s="62"/>
    </row>
    <row r="306" ht="14.25" customHeight="1" spans="1:17" x14ac:dyDescent="0.25">
      <c r="E306" s="62"/>
      <c r="J306" s="62"/>
      <c r="K306" s="63"/>
      <c r="O306" s="62"/>
      <c r="Q306" s="62"/>
    </row>
    <row r="307" ht="14.25" customHeight="1" spans="1:17" x14ac:dyDescent="0.25">
      <c r="E307" s="62"/>
      <c r="J307" s="62"/>
      <c r="K307" s="63"/>
      <c r="O307" s="62"/>
      <c r="Q307" s="62"/>
    </row>
    <row r="308" ht="14.25" customHeight="1" spans="1:17" x14ac:dyDescent="0.25">
      <c r="E308" s="62"/>
      <c r="J308" s="62"/>
      <c r="K308" s="63"/>
      <c r="O308" s="62"/>
      <c r="Q308" s="62"/>
    </row>
    <row r="309" ht="14.25" customHeight="1" spans="1:17" x14ac:dyDescent="0.25">
      <c r="E309" s="62"/>
      <c r="J309" s="62"/>
      <c r="K309" s="63"/>
      <c r="O309" s="62"/>
      <c r="Q309" s="62"/>
    </row>
    <row r="310" ht="14.25" customHeight="1" spans="1:17" x14ac:dyDescent="0.25">
      <c r="E310" s="62"/>
      <c r="J310" s="62"/>
      <c r="K310" s="63"/>
      <c r="O310" s="62"/>
      <c r="Q310" s="62"/>
    </row>
    <row r="311" ht="14.25" customHeight="1" spans="1:17" x14ac:dyDescent="0.25">
      <c r="E311" s="62"/>
      <c r="J311" s="62"/>
      <c r="K311" s="63"/>
      <c r="O311" s="62"/>
      <c r="Q311" s="62"/>
    </row>
    <row r="312" ht="14.25" customHeight="1" spans="1:17" x14ac:dyDescent="0.25">
      <c r="E312" s="62"/>
      <c r="J312" s="62"/>
      <c r="K312" s="63"/>
      <c r="O312" s="62"/>
      <c r="Q312" s="62"/>
    </row>
    <row r="313" ht="14.25" customHeight="1" spans="1:17" x14ac:dyDescent="0.25">
      <c r="E313" s="62"/>
      <c r="J313" s="62"/>
      <c r="K313" s="63"/>
      <c r="O313" s="62"/>
      <c r="Q313" s="62"/>
    </row>
    <row r="314" ht="14.25" customHeight="1" spans="1:17" x14ac:dyDescent="0.25">
      <c r="E314" s="62"/>
      <c r="J314" s="62"/>
      <c r="K314" s="63"/>
      <c r="O314" s="62"/>
      <c r="Q314" s="62"/>
    </row>
    <row r="315" ht="14.25" customHeight="1" spans="1:17" x14ac:dyDescent="0.25">
      <c r="E315" s="62"/>
      <c r="J315" s="62"/>
      <c r="K315" s="63"/>
      <c r="O315" s="62"/>
      <c r="Q315" s="62"/>
    </row>
    <row r="316" ht="14.25" customHeight="1" spans="1:17" x14ac:dyDescent="0.25">
      <c r="E316" s="62"/>
      <c r="J316" s="62"/>
      <c r="K316" s="63"/>
      <c r="O316" s="62"/>
      <c r="Q316" s="62"/>
    </row>
    <row r="317" ht="14.25" customHeight="1" spans="1:17" x14ac:dyDescent="0.25">
      <c r="E317" s="62"/>
      <c r="J317" s="62"/>
      <c r="K317" s="63"/>
      <c r="O317" s="62"/>
      <c r="Q317" s="62"/>
    </row>
    <row r="318" ht="14.25" customHeight="1" spans="1:17" x14ac:dyDescent="0.25">
      <c r="E318" s="62"/>
      <c r="J318" s="62"/>
      <c r="K318" s="63"/>
      <c r="O318" s="62"/>
      <c r="Q318" s="62"/>
    </row>
    <row r="319" ht="14.25" customHeight="1" spans="1:17" x14ac:dyDescent="0.25">
      <c r="E319" s="62"/>
      <c r="J319" s="62"/>
      <c r="K319" s="63"/>
      <c r="O319" s="62"/>
      <c r="Q319" s="62"/>
    </row>
    <row r="320" ht="14.25" customHeight="1" spans="1:17" x14ac:dyDescent="0.25">
      <c r="E320" s="62"/>
      <c r="J320" s="62"/>
      <c r="K320" s="63"/>
      <c r="O320" s="62"/>
      <c r="Q320" s="62"/>
    </row>
    <row r="321" ht="14.25" customHeight="1" spans="1:17" x14ac:dyDescent="0.25">
      <c r="E321" s="62"/>
      <c r="J321" s="62"/>
      <c r="K321" s="63"/>
      <c r="O321" s="62"/>
      <c r="Q321" s="62"/>
    </row>
    <row r="322" ht="14.25" customHeight="1" spans="1:17" x14ac:dyDescent="0.25">
      <c r="E322" s="62"/>
      <c r="J322" s="62"/>
      <c r="K322" s="63"/>
      <c r="O322" s="62"/>
      <c r="Q322" s="62"/>
    </row>
    <row r="323" ht="14.25" customHeight="1" spans="1:17" x14ac:dyDescent="0.25">
      <c r="E323" s="62"/>
      <c r="J323" s="62"/>
      <c r="K323" s="63"/>
      <c r="O323" s="62"/>
      <c r="Q323" s="62"/>
    </row>
    <row r="324" ht="14.25" customHeight="1" spans="1:17" x14ac:dyDescent="0.25">
      <c r="E324" s="62"/>
      <c r="J324" s="62"/>
      <c r="K324" s="63"/>
      <c r="O324" s="62"/>
      <c r="Q324" s="62"/>
    </row>
    <row r="325" ht="14.25" customHeight="1" spans="1:17" x14ac:dyDescent="0.25">
      <c r="E325" s="62"/>
      <c r="J325" s="62"/>
      <c r="K325" s="63"/>
      <c r="O325" s="62"/>
      <c r="Q325" s="62"/>
    </row>
    <row r="326" ht="14.25" customHeight="1" spans="1:17" x14ac:dyDescent="0.25">
      <c r="E326" s="62"/>
      <c r="J326" s="62"/>
      <c r="K326" s="63"/>
      <c r="O326" s="62"/>
      <c r="Q326" s="62"/>
    </row>
    <row r="327" ht="14.25" customHeight="1" spans="1:17" x14ac:dyDescent="0.25">
      <c r="E327" s="62"/>
      <c r="J327" s="62"/>
      <c r="K327" s="63"/>
      <c r="O327" s="62"/>
      <c r="Q327" s="62"/>
    </row>
    <row r="328" ht="14.25" customHeight="1" spans="1:17" x14ac:dyDescent="0.25">
      <c r="E328" s="62"/>
      <c r="J328" s="62"/>
      <c r="K328" s="63"/>
      <c r="O328" s="62"/>
      <c r="Q328" s="62"/>
    </row>
    <row r="329" ht="14.25" customHeight="1" spans="1:17" x14ac:dyDescent="0.25">
      <c r="E329" s="62"/>
      <c r="J329" s="62"/>
      <c r="K329" s="63"/>
      <c r="O329" s="62"/>
      <c r="Q329" s="62"/>
    </row>
    <row r="330" ht="14.25" customHeight="1" spans="1:17" x14ac:dyDescent="0.25">
      <c r="E330" s="62"/>
      <c r="J330" s="62"/>
      <c r="K330" s="63"/>
      <c r="O330" s="62"/>
      <c r="Q330" s="62"/>
    </row>
    <row r="331" ht="14.25" customHeight="1" spans="1:17" x14ac:dyDescent="0.25">
      <c r="E331" s="62"/>
      <c r="J331" s="62"/>
      <c r="K331" s="63"/>
      <c r="O331" s="62"/>
      <c r="Q331" s="62"/>
    </row>
    <row r="332" ht="14.25" customHeight="1" spans="1:17" x14ac:dyDescent="0.25">
      <c r="E332" s="62"/>
      <c r="J332" s="62"/>
      <c r="K332" s="63"/>
      <c r="O332" s="62"/>
      <c r="Q332" s="62"/>
    </row>
    <row r="333" ht="14.25" customHeight="1" spans="1:17" x14ac:dyDescent="0.25">
      <c r="E333" s="62"/>
      <c r="J333" s="62"/>
      <c r="K333" s="63"/>
      <c r="O333" s="62"/>
      <c r="Q333" s="62"/>
    </row>
    <row r="334" ht="14.25" customHeight="1" spans="1:17" x14ac:dyDescent="0.25">
      <c r="E334" s="62"/>
      <c r="J334" s="62"/>
      <c r="K334" s="63"/>
      <c r="O334" s="62"/>
      <c r="Q334" s="62"/>
    </row>
    <row r="335" ht="14.25" customHeight="1" spans="1:17" x14ac:dyDescent="0.25">
      <c r="E335" s="62"/>
      <c r="J335" s="62"/>
      <c r="K335" s="63"/>
      <c r="O335" s="62"/>
      <c r="Q335" s="62"/>
    </row>
    <row r="336" ht="14.25" customHeight="1" spans="1:17" x14ac:dyDescent="0.25">
      <c r="E336" s="62"/>
      <c r="J336" s="62"/>
      <c r="K336" s="63"/>
      <c r="O336" s="62"/>
      <c r="Q336" s="62"/>
    </row>
    <row r="337" ht="14.25" customHeight="1" spans="1:17" x14ac:dyDescent="0.25">
      <c r="E337" s="62"/>
      <c r="J337" s="62"/>
      <c r="K337" s="63"/>
      <c r="O337" s="62"/>
      <c r="Q337" s="62"/>
    </row>
    <row r="338" ht="14.25" customHeight="1" spans="1:17" x14ac:dyDescent="0.25">
      <c r="E338" s="62"/>
      <c r="J338" s="62"/>
      <c r="K338" s="63"/>
      <c r="O338" s="62"/>
      <c r="Q338" s="62"/>
    </row>
    <row r="339" ht="14.25" customHeight="1" spans="1:17" x14ac:dyDescent="0.25">
      <c r="E339" s="62"/>
      <c r="J339" s="62"/>
      <c r="K339" s="63"/>
      <c r="O339" s="62"/>
      <c r="Q339" s="62"/>
    </row>
    <row r="340" ht="14.25" customHeight="1" spans="1:17" x14ac:dyDescent="0.25">
      <c r="E340" s="62"/>
      <c r="J340" s="62"/>
      <c r="K340" s="63"/>
      <c r="O340" s="62"/>
      <c r="Q340" s="62"/>
    </row>
    <row r="341" ht="14.25" customHeight="1" spans="1:17" x14ac:dyDescent="0.25">
      <c r="E341" s="62"/>
      <c r="J341" s="62"/>
      <c r="K341" s="63"/>
      <c r="O341" s="62"/>
      <c r="Q341" s="62"/>
    </row>
    <row r="342" ht="14.25" customHeight="1" spans="1:17" x14ac:dyDescent="0.25">
      <c r="E342" s="62"/>
      <c r="J342" s="62"/>
      <c r="K342" s="63"/>
      <c r="O342" s="62"/>
      <c r="Q342" s="62"/>
    </row>
    <row r="343" ht="14.25" customHeight="1" spans="1:17" x14ac:dyDescent="0.25">
      <c r="E343" s="62"/>
      <c r="J343" s="62"/>
      <c r="K343" s="63"/>
      <c r="O343" s="62"/>
      <c r="Q343" s="62"/>
    </row>
    <row r="344" ht="14.25" customHeight="1" spans="1:17" x14ac:dyDescent="0.25">
      <c r="E344" s="62"/>
      <c r="J344" s="62"/>
      <c r="K344" s="63"/>
      <c r="O344" s="62"/>
      <c r="Q344" s="62"/>
    </row>
    <row r="345" ht="14.25" customHeight="1" spans="1:17" x14ac:dyDescent="0.25">
      <c r="E345" s="62"/>
      <c r="J345" s="62"/>
      <c r="K345" s="63"/>
      <c r="O345" s="62"/>
      <c r="Q345" s="62"/>
    </row>
    <row r="346" ht="14.25" customHeight="1" spans="1:17" x14ac:dyDescent="0.25">
      <c r="E346" s="62"/>
      <c r="J346" s="62"/>
      <c r="K346" s="63"/>
      <c r="O346" s="62"/>
      <c r="Q346" s="62"/>
    </row>
    <row r="347" ht="14.25" customHeight="1" spans="1:17" x14ac:dyDescent="0.25">
      <c r="E347" s="62"/>
      <c r="J347" s="62"/>
      <c r="K347" s="63"/>
      <c r="O347" s="62"/>
      <c r="Q347" s="62"/>
    </row>
    <row r="348" ht="14.25" customHeight="1" spans="1:17" x14ac:dyDescent="0.25">
      <c r="E348" s="62"/>
      <c r="J348" s="62"/>
      <c r="K348" s="63"/>
      <c r="O348" s="62"/>
      <c r="Q348" s="62"/>
    </row>
    <row r="349" ht="14.25" customHeight="1" spans="1:17" x14ac:dyDescent="0.25">
      <c r="E349" s="62"/>
      <c r="J349" s="62"/>
      <c r="K349" s="63"/>
      <c r="O349" s="62"/>
      <c r="Q349" s="62"/>
    </row>
    <row r="350" ht="14.25" customHeight="1" spans="1:17" x14ac:dyDescent="0.25">
      <c r="E350" s="62"/>
      <c r="J350" s="62"/>
      <c r="K350" s="63"/>
      <c r="O350" s="62"/>
      <c r="Q350" s="62"/>
    </row>
    <row r="351" ht="14.25" customHeight="1" spans="1:17" x14ac:dyDescent="0.25">
      <c r="E351" s="62"/>
      <c r="J351" s="62"/>
      <c r="K351" s="63"/>
      <c r="O351" s="62"/>
      <c r="Q351" s="62"/>
    </row>
    <row r="352" ht="14.25" customHeight="1" spans="1:17" x14ac:dyDescent="0.25">
      <c r="E352" s="62"/>
      <c r="J352" s="62"/>
      <c r="K352" s="63"/>
      <c r="O352" s="62"/>
      <c r="Q352" s="62"/>
    </row>
    <row r="353" ht="14.25" customHeight="1" spans="1:17" x14ac:dyDescent="0.25">
      <c r="E353" s="62"/>
      <c r="J353" s="62"/>
      <c r="K353" s="63"/>
      <c r="O353" s="62"/>
      <c r="Q353" s="62"/>
    </row>
    <row r="354" ht="14.25" customHeight="1" spans="1:17" x14ac:dyDescent="0.25">
      <c r="E354" s="62"/>
      <c r="J354" s="62"/>
      <c r="K354" s="63"/>
      <c r="O354" s="62"/>
      <c r="Q354" s="62"/>
    </row>
    <row r="355" ht="14.25" customHeight="1" spans="1:17" x14ac:dyDescent="0.25">
      <c r="E355" s="62"/>
      <c r="J355" s="62"/>
      <c r="K355" s="63"/>
      <c r="O355" s="62"/>
      <c r="Q355" s="62"/>
    </row>
    <row r="356" ht="14.25" customHeight="1" spans="1:17" x14ac:dyDescent="0.25">
      <c r="E356" s="62"/>
      <c r="J356" s="62"/>
      <c r="K356" s="63"/>
      <c r="O356" s="62"/>
      <c r="Q356" s="62"/>
    </row>
    <row r="357" ht="14.25" customHeight="1" spans="1:17" x14ac:dyDescent="0.25">
      <c r="E357" s="62"/>
      <c r="J357" s="62"/>
      <c r="K357" s="63"/>
      <c r="O357" s="62"/>
      <c r="Q357" s="62"/>
    </row>
    <row r="358" ht="14.25" customHeight="1" spans="1:17" x14ac:dyDescent="0.25">
      <c r="E358" s="62"/>
      <c r="J358" s="62"/>
      <c r="K358" s="63"/>
      <c r="O358" s="62"/>
      <c r="Q358" s="62"/>
    </row>
    <row r="359" ht="14.25" customHeight="1" spans="1:17" x14ac:dyDescent="0.25">
      <c r="E359" s="62"/>
      <c r="J359" s="62"/>
      <c r="K359" s="63"/>
      <c r="O359" s="62"/>
      <c r="Q359" s="62"/>
    </row>
    <row r="360" ht="14.25" customHeight="1" spans="1:17" x14ac:dyDescent="0.25">
      <c r="E360" s="62"/>
      <c r="J360" s="62"/>
      <c r="K360" s="63"/>
      <c r="O360" s="62"/>
      <c r="Q360" s="62"/>
    </row>
    <row r="361" ht="14.25" customHeight="1" spans="1:17" x14ac:dyDescent="0.25">
      <c r="E361" s="62"/>
      <c r="J361" s="62"/>
      <c r="K361" s="63"/>
      <c r="O361" s="62"/>
      <c r="Q361" s="62"/>
    </row>
    <row r="362" ht="14.25" customHeight="1" spans="1:17" x14ac:dyDescent="0.25">
      <c r="E362" s="62"/>
      <c r="J362" s="62"/>
      <c r="K362" s="63"/>
      <c r="O362" s="62"/>
      <c r="Q362" s="62"/>
    </row>
    <row r="363" ht="14.25" customHeight="1" spans="1:17" x14ac:dyDescent="0.25">
      <c r="E363" s="62"/>
      <c r="J363" s="62"/>
      <c r="K363" s="63"/>
      <c r="O363" s="62"/>
      <c r="Q363" s="62"/>
    </row>
    <row r="364" ht="14.25" customHeight="1" spans="1:17" x14ac:dyDescent="0.25">
      <c r="E364" s="62"/>
      <c r="J364" s="62"/>
      <c r="K364" s="63"/>
      <c r="O364" s="62"/>
      <c r="Q364" s="62"/>
    </row>
    <row r="365" ht="14.25" customHeight="1" spans="1:17" x14ac:dyDescent="0.25">
      <c r="E365" s="62"/>
      <c r="J365" s="62"/>
      <c r="K365" s="63"/>
      <c r="O365" s="62"/>
      <c r="Q365" s="62"/>
    </row>
    <row r="366" ht="14.25" customHeight="1" spans="1:17" x14ac:dyDescent="0.25">
      <c r="E366" s="62"/>
      <c r="J366" s="62"/>
      <c r="K366" s="63"/>
      <c r="O366" s="62"/>
      <c r="Q366" s="62"/>
    </row>
    <row r="367" ht="14.25" customHeight="1" spans="1:17" x14ac:dyDescent="0.25">
      <c r="E367" s="62"/>
      <c r="J367" s="62"/>
      <c r="K367" s="63"/>
      <c r="O367" s="62"/>
      <c r="Q367" s="62"/>
    </row>
    <row r="368" ht="14.25" customHeight="1" spans="1:17" x14ac:dyDescent="0.25">
      <c r="E368" s="62"/>
      <c r="J368" s="62"/>
      <c r="K368" s="63"/>
      <c r="O368" s="62"/>
      <c r="Q368" s="62"/>
    </row>
    <row r="369" ht="14.25" customHeight="1" spans="1:17" x14ac:dyDescent="0.25">
      <c r="E369" s="62"/>
      <c r="J369" s="62"/>
      <c r="K369" s="63"/>
      <c r="O369" s="62"/>
      <c r="Q369" s="62"/>
    </row>
    <row r="370" ht="14.25" customHeight="1" spans="1:17" x14ac:dyDescent="0.25">
      <c r="E370" s="62"/>
      <c r="J370" s="62"/>
      <c r="K370" s="63"/>
      <c r="O370" s="62"/>
      <c r="Q370" s="62"/>
    </row>
    <row r="371" ht="14.25" customHeight="1" spans="1:17" x14ac:dyDescent="0.25">
      <c r="E371" s="62"/>
      <c r="J371" s="62"/>
      <c r="K371" s="63"/>
      <c r="O371" s="62"/>
      <c r="Q371" s="62"/>
    </row>
    <row r="372" ht="14.25" customHeight="1" spans="1:17" x14ac:dyDescent="0.25">
      <c r="E372" s="62"/>
      <c r="J372" s="62"/>
      <c r="K372" s="63"/>
      <c r="O372" s="62"/>
      <c r="Q372" s="62"/>
    </row>
    <row r="373" ht="14.25" customHeight="1" spans="1:17" x14ac:dyDescent="0.25">
      <c r="E373" s="62"/>
      <c r="J373" s="62"/>
      <c r="K373" s="63"/>
      <c r="O373" s="62"/>
      <c r="Q373" s="62"/>
    </row>
    <row r="374" ht="14.25" customHeight="1" spans="1:17" x14ac:dyDescent="0.25">
      <c r="E374" s="62"/>
      <c r="J374" s="62"/>
      <c r="K374" s="63"/>
      <c r="O374" s="62"/>
      <c r="Q374" s="62"/>
    </row>
    <row r="375" ht="14.25" customHeight="1" spans="1:17" x14ac:dyDescent="0.25">
      <c r="E375" s="62"/>
      <c r="J375" s="62"/>
      <c r="K375" s="63"/>
      <c r="O375" s="62"/>
      <c r="Q375" s="62"/>
    </row>
    <row r="376" ht="14.25" customHeight="1" spans="1:17" x14ac:dyDescent="0.25">
      <c r="E376" s="62"/>
      <c r="J376" s="62"/>
      <c r="K376" s="63"/>
      <c r="O376" s="62"/>
      <c r="Q376" s="62"/>
    </row>
    <row r="377" ht="14.25" customHeight="1" spans="1:17" x14ac:dyDescent="0.25">
      <c r="E377" s="62"/>
      <c r="J377" s="62"/>
      <c r="K377" s="63"/>
      <c r="O377" s="62"/>
      <c r="Q377" s="62"/>
    </row>
    <row r="378" ht="14.25" customHeight="1" spans="1:17" x14ac:dyDescent="0.25">
      <c r="E378" s="62"/>
      <c r="J378" s="62"/>
      <c r="K378" s="63"/>
      <c r="O378" s="62"/>
      <c r="Q378" s="62"/>
    </row>
    <row r="379" ht="14.25" customHeight="1" spans="1:17" x14ac:dyDescent="0.25">
      <c r="E379" s="62"/>
      <c r="J379" s="62"/>
      <c r="K379" s="63"/>
      <c r="O379" s="62"/>
      <c r="Q379" s="62"/>
    </row>
    <row r="380" ht="14.25" customHeight="1" spans="1:17" x14ac:dyDescent="0.25">
      <c r="E380" s="62"/>
      <c r="J380" s="62"/>
      <c r="K380" s="63"/>
      <c r="O380" s="62"/>
      <c r="Q380" s="62"/>
    </row>
    <row r="381" ht="14.25" customHeight="1" spans="1:17" x14ac:dyDescent="0.25">
      <c r="E381" s="62"/>
      <c r="J381" s="62"/>
      <c r="K381" s="63"/>
      <c r="O381" s="62"/>
      <c r="Q381" s="62"/>
    </row>
    <row r="382" ht="14.25" customHeight="1" spans="1:17" x14ac:dyDescent="0.25">
      <c r="E382" s="62"/>
      <c r="J382" s="62"/>
      <c r="K382" s="63"/>
      <c r="O382" s="62"/>
      <c r="Q382" s="62"/>
    </row>
    <row r="383" ht="14.25" customHeight="1" spans="1:17" x14ac:dyDescent="0.25">
      <c r="E383" s="62"/>
      <c r="J383" s="62"/>
      <c r="K383" s="63"/>
      <c r="O383" s="62"/>
      <c r="Q383" s="62"/>
    </row>
    <row r="384" ht="14.25" customHeight="1" spans="1:17" x14ac:dyDescent="0.25">
      <c r="E384" s="62"/>
      <c r="J384" s="62"/>
      <c r="K384" s="63"/>
      <c r="O384" s="62"/>
      <c r="Q384" s="62"/>
    </row>
    <row r="385" ht="14.25" customHeight="1" spans="1:17" x14ac:dyDescent="0.25">
      <c r="E385" s="62"/>
      <c r="J385" s="62"/>
      <c r="K385" s="63"/>
      <c r="O385" s="62"/>
      <c r="Q385" s="62"/>
    </row>
    <row r="386" ht="14.25" customHeight="1" spans="1:17" x14ac:dyDescent="0.25">
      <c r="E386" s="62"/>
      <c r="J386" s="62"/>
      <c r="K386" s="63"/>
      <c r="O386" s="62"/>
      <c r="Q386" s="62"/>
    </row>
    <row r="387" ht="14.25" customHeight="1" spans="1:17" x14ac:dyDescent="0.25">
      <c r="E387" s="62"/>
      <c r="J387" s="62"/>
      <c r="K387" s="63"/>
      <c r="O387" s="62"/>
      <c r="Q387" s="62"/>
    </row>
    <row r="388" ht="14.25" customHeight="1" spans="1:17" x14ac:dyDescent="0.25">
      <c r="E388" s="62"/>
      <c r="J388" s="62"/>
      <c r="K388" s="63"/>
      <c r="O388" s="62"/>
      <c r="Q388" s="62"/>
    </row>
    <row r="389" ht="14.25" customHeight="1" spans="1:17" x14ac:dyDescent="0.25">
      <c r="E389" s="62"/>
      <c r="J389" s="62"/>
      <c r="K389" s="63"/>
      <c r="O389" s="62"/>
      <c r="Q389" s="62"/>
    </row>
    <row r="390" ht="14.25" customHeight="1" spans="1:17" x14ac:dyDescent="0.25">
      <c r="E390" s="62"/>
      <c r="J390" s="62"/>
      <c r="K390" s="63"/>
      <c r="O390" s="62"/>
      <c r="Q390" s="62"/>
    </row>
    <row r="391" ht="14.25" customHeight="1" spans="1:17" x14ac:dyDescent="0.25">
      <c r="E391" s="62"/>
      <c r="J391" s="62"/>
      <c r="K391" s="63"/>
      <c r="O391" s="62"/>
      <c r="Q391" s="62"/>
    </row>
    <row r="392" ht="14.25" customHeight="1" spans="1:17" x14ac:dyDescent="0.25">
      <c r="E392" s="62"/>
      <c r="J392" s="62"/>
      <c r="K392" s="63"/>
      <c r="O392" s="62"/>
      <c r="Q392" s="62"/>
    </row>
    <row r="393" ht="14.25" customHeight="1" spans="1:17" x14ac:dyDescent="0.25">
      <c r="E393" s="62"/>
      <c r="J393" s="62"/>
      <c r="K393" s="63"/>
      <c r="O393" s="62"/>
      <c r="Q393" s="62"/>
    </row>
    <row r="394" ht="14.25" customHeight="1" spans="1:17" x14ac:dyDescent="0.25">
      <c r="E394" s="62"/>
      <c r="J394" s="62"/>
      <c r="K394" s="63"/>
      <c r="O394" s="62"/>
      <c r="Q394" s="62"/>
    </row>
    <row r="395" ht="14.25" customHeight="1" spans="1:17" x14ac:dyDescent="0.25">
      <c r="E395" s="62"/>
      <c r="J395" s="62"/>
      <c r="K395" s="63"/>
      <c r="O395" s="62"/>
      <c r="Q395" s="62"/>
    </row>
    <row r="396" ht="14.25" customHeight="1" spans="1:17" x14ac:dyDescent="0.25">
      <c r="E396" s="62"/>
      <c r="J396" s="62"/>
      <c r="K396" s="63"/>
      <c r="O396" s="62"/>
      <c r="Q396" s="62"/>
    </row>
    <row r="397" ht="14.25" customHeight="1" spans="1:17" x14ac:dyDescent="0.25">
      <c r="E397" s="62"/>
      <c r="J397" s="62"/>
      <c r="K397" s="63"/>
      <c r="O397" s="62"/>
      <c r="Q397" s="62"/>
    </row>
    <row r="398" ht="14.25" customHeight="1" spans="1:17" x14ac:dyDescent="0.25">
      <c r="E398" s="62"/>
      <c r="J398" s="62"/>
      <c r="K398" s="63"/>
      <c r="O398" s="62"/>
      <c r="Q398" s="62"/>
    </row>
    <row r="399" ht="14.25" customHeight="1" spans="1:17" x14ac:dyDescent="0.25">
      <c r="E399" s="62"/>
      <c r="J399" s="62"/>
      <c r="K399" s="63"/>
      <c r="O399" s="62"/>
      <c r="Q399" s="62"/>
    </row>
    <row r="400" ht="14.25" customHeight="1" spans="1:17" x14ac:dyDescent="0.25">
      <c r="E400" s="62"/>
      <c r="J400" s="62"/>
      <c r="K400" s="63"/>
      <c r="O400" s="62"/>
      <c r="Q400" s="62"/>
    </row>
    <row r="401" ht="14.25" customHeight="1" spans="1:17" x14ac:dyDescent="0.25">
      <c r="E401" s="62"/>
      <c r="J401" s="62"/>
      <c r="K401" s="63"/>
      <c r="O401" s="62"/>
      <c r="Q401" s="62"/>
    </row>
    <row r="402" ht="14.25" customHeight="1" spans="1:17" x14ac:dyDescent="0.25">
      <c r="E402" s="62"/>
      <c r="J402" s="62"/>
      <c r="K402" s="63"/>
      <c r="O402" s="62"/>
      <c r="Q402" s="62"/>
    </row>
    <row r="403" ht="14.25" customHeight="1" spans="1:17" x14ac:dyDescent="0.25">
      <c r="E403" s="62"/>
      <c r="J403" s="62"/>
      <c r="K403" s="63"/>
      <c r="O403" s="62"/>
      <c r="Q403" s="62"/>
    </row>
    <row r="404" ht="14.25" customHeight="1" spans="1:17" x14ac:dyDescent="0.25">
      <c r="E404" s="62"/>
      <c r="J404" s="62"/>
      <c r="K404" s="63"/>
      <c r="O404" s="62"/>
      <c r="Q404" s="62"/>
    </row>
    <row r="405" ht="14.25" customHeight="1" spans="1:17" x14ac:dyDescent="0.25">
      <c r="E405" s="62"/>
      <c r="J405" s="62"/>
      <c r="K405" s="63"/>
      <c r="O405" s="62"/>
      <c r="Q405" s="62"/>
    </row>
    <row r="406" ht="14.25" customHeight="1" spans="1:17" x14ac:dyDescent="0.25">
      <c r="E406" s="62"/>
      <c r="J406" s="62"/>
      <c r="K406" s="63"/>
      <c r="O406" s="62"/>
      <c r="Q406" s="62"/>
    </row>
    <row r="407" ht="14.25" customHeight="1" spans="1:17" x14ac:dyDescent="0.25">
      <c r="E407" s="62"/>
      <c r="J407" s="62"/>
      <c r="K407" s="63"/>
      <c r="O407" s="62"/>
      <c r="Q407" s="62"/>
    </row>
    <row r="408" ht="14.25" customHeight="1" spans="1:17" x14ac:dyDescent="0.25">
      <c r="E408" s="62"/>
      <c r="J408" s="62"/>
      <c r="K408" s="63"/>
      <c r="O408" s="62"/>
      <c r="Q408" s="62"/>
    </row>
    <row r="409" ht="14.25" customHeight="1" spans="1:17" x14ac:dyDescent="0.25">
      <c r="E409" s="62"/>
      <c r="J409" s="62"/>
      <c r="K409" s="63"/>
      <c r="O409" s="62"/>
      <c r="Q409" s="62"/>
    </row>
    <row r="410" ht="14.25" customHeight="1" spans="1:17" x14ac:dyDescent="0.25">
      <c r="E410" s="62"/>
      <c r="J410" s="62"/>
      <c r="K410" s="63"/>
      <c r="O410" s="62"/>
      <c r="Q410" s="62"/>
    </row>
    <row r="411" ht="14.25" customHeight="1" spans="1:17" x14ac:dyDescent="0.25">
      <c r="E411" s="62"/>
      <c r="J411" s="62"/>
      <c r="K411" s="63"/>
      <c r="O411" s="62"/>
      <c r="Q411" s="62"/>
    </row>
    <row r="412" ht="14.25" customHeight="1" spans="1:17" x14ac:dyDescent="0.25">
      <c r="E412" s="62"/>
      <c r="J412" s="62"/>
      <c r="K412" s="63"/>
      <c r="O412" s="62"/>
      <c r="Q412" s="62"/>
    </row>
    <row r="413" ht="14.25" customHeight="1" spans="1:17" x14ac:dyDescent="0.25">
      <c r="E413" s="62"/>
      <c r="J413" s="62"/>
      <c r="K413" s="63"/>
      <c r="O413" s="62"/>
      <c r="Q413" s="62"/>
    </row>
    <row r="414" ht="14.25" customHeight="1" spans="1:17" x14ac:dyDescent="0.25">
      <c r="E414" s="62"/>
      <c r="J414" s="62"/>
      <c r="K414" s="63"/>
      <c r="O414" s="62"/>
      <c r="Q414" s="62"/>
    </row>
    <row r="415" ht="14.25" customHeight="1" spans="1:17" x14ac:dyDescent="0.25">
      <c r="E415" s="62"/>
      <c r="J415" s="62"/>
      <c r="K415" s="63"/>
      <c r="O415" s="62"/>
      <c r="Q415" s="62"/>
    </row>
    <row r="416" ht="14.25" customHeight="1" spans="1:17" x14ac:dyDescent="0.25">
      <c r="E416" s="62"/>
      <c r="J416" s="62"/>
      <c r="K416" s="63"/>
      <c r="O416" s="62"/>
      <c r="Q416" s="62"/>
    </row>
    <row r="417" ht="14.25" customHeight="1" spans="1:17" x14ac:dyDescent="0.25">
      <c r="E417" s="62"/>
      <c r="J417" s="62"/>
      <c r="K417" s="63"/>
      <c r="O417" s="62"/>
      <c r="Q417" s="62"/>
    </row>
    <row r="418" ht="14.25" customHeight="1" spans="1:17" x14ac:dyDescent="0.25">
      <c r="E418" s="62"/>
      <c r="J418" s="62"/>
      <c r="K418" s="63"/>
      <c r="O418" s="62"/>
      <c r="Q418" s="62"/>
    </row>
    <row r="419" ht="14.25" customHeight="1" spans="1:17" x14ac:dyDescent="0.25">
      <c r="E419" s="62"/>
      <c r="J419" s="62"/>
      <c r="K419" s="63"/>
      <c r="O419" s="62"/>
      <c r="Q419" s="62"/>
    </row>
    <row r="420" ht="14.25" customHeight="1" spans="1:17" x14ac:dyDescent="0.25">
      <c r="E420" s="62"/>
      <c r="J420" s="62"/>
      <c r="K420" s="63"/>
      <c r="O420" s="62"/>
      <c r="Q420" s="62"/>
    </row>
    <row r="421" ht="14.25" customHeight="1" spans="1:17" x14ac:dyDescent="0.25">
      <c r="E421" s="62"/>
      <c r="J421" s="62"/>
      <c r="K421" s="63"/>
      <c r="O421" s="62"/>
      <c r="Q421" s="62"/>
    </row>
    <row r="422" ht="14.25" customHeight="1" spans="1:17" x14ac:dyDescent="0.25">
      <c r="E422" s="62"/>
      <c r="J422" s="62"/>
      <c r="K422" s="63"/>
      <c r="O422" s="62"/>
      <c r="Q422" s="62"/>
    </row>
    <row r="423" ht="14.25" customHeight="1" spans="1:17" x14ac:dyDescent="0.25">
      <c r="E423" s="62"/>
      <c r="J423" s="62"/>
      <c r="K423" s="63"/>
      <c r="O423" s="62"/>
      <c r="Q423" s="62"/>
    </row>
    <row r="424" ht="14.25" customHeight="1" spans="1:17" x14ac:dyDescent="0.25">
      <c r="E424" s="62"/>
      <c r="J424" s="62"/>
      <c r="K424" s="63"/>
      <c r="O424" s="62"/>
      <c r="Q424" s="62"/>
    </row>
    <row r="425" ht="14.25" customHeight="1" spans="1:17" x14ac:dyDescent="0.25">
      <c r="E425" s="62"/>
      <c r="J425" s="62"/>
      <c r="K425" s="63"/>
      <c r="O425" s="62"/>
      <c r="Q425" s="62"/>
    </row>
    <row r="426" ht="14.25" customHeight="1" spans="1:17" x14ac:dyDescent="0.25">
      <c r="E426" s="62"/>
      <c r="J426" s="62"/>
      <c r="K426" s="63"/>
      <c r="O426" s="62"/>
      <c r="Q426" s="62"/>
    </row>
    <row r="427" ht="14.25" customHeight="1" spans="1:17" x14ac:dyDescent="0.25">
      <c r="E427" s="62"/>
      <c r="J427" s="62"/>
      <c r="K427" s="63"/>
      <c r="O427" s="62"/>
      <c r="Q427" s="62"/>
    </row>
    <row r="428" ht="14.25" customHeight="1" spans="1:17" x14ac:dyDescent="0.25">
      <c r="E428" s="62"/>
      <c r="J428" s="62"/>
      <c r="K428" s="63"/>
      <c r="O428" s="62"/>
      <c r="Q428" s="62"/>
    </row>
    <row r="429" ht="14.25" customHeight="1" spans="1:17" x14ac:dyDescent="0.25">
      <c r="E429" s="62"/>
      <c r="J429" s="62"/>
      <c r="K429" s="63"/>
      <c r="O429" s="62"/>
      <c r="Q429" s="62"/>
    </row>
    <row r="430" ht="14.25" customHeight="1" spans="1:17" x14ac:dyDescent="0.25">
      <c r="E430" s="62"/>
      <c r="J430" s="62"/>
      <c r="K430" s="63"/>
      <c r="O430" s="62"/>
      <c r="Q430" s="62"/>
    </row>
    <row r="431" ht="14.25" customHeight="1" spans="1:17" x14ac:dyDescent="0.25">
      <c r="E431" s="62"/>
      <c r="J431" s="62"/>
      <c r="K431" s="63"/>
      <c r="O431" s="62"/>
      <c r="Q431" s="62"/>
    </row>
    <row r="432" ht="14.25" customHeight="1" spans="1:17" x14ac:dyDescent="0.25">
      <c r="E432" s="62"/>
      <c r="J432" s="62"/>
      <c r="K432" s="63"/>
      <c r="O432" s="62"/>
      <c r="Q432" s="62"/>
    </row>
    <row r="433" ht="14.25" customHeight="1" spans="1:17" x14ac:dyDescent="0.25">
      <c r="E433" s="62"/>
      <c r="J433" s="62"/>
      <c r="K433" s="63"/>
      <c r="O433" s="62"/>
      <c r="Q433" s="62"/>
    </row>
    <row r="434" ht="14.25" customHeight="1" spans="1:17" x14ac:dyDescent="0.25">
      <c r="E434" s="62"/>
      <c r="J434" s="62"/>
      <c r="K434" s="63"/>
      <c r="O434" s="62"/>
      <c r="Q434" s="62"/>
    </row>
    <row r="435" ht="14.25" customHeight="1" spans="1:17" x14ac:dyDescent="0.25">
      <c r="E435" s="62"/>
      <c r="J435" s="62"/>
      <c r="K435" s="63"/>
      <c r="O435" s="62"/>
      <c r="Q435" s="62"/>
    </row>
    <row r="436" ht="14.25" customHeight="1" spans="1:17" x14ac:dyDescent="0.25">
      <c r="E436" s="62"/>
      <c r="J436" s="62"/>
      <c r="K436" s="63"/>
      <c r="O436" s="62"/>
      <c r="Q436" s="62"/>
    </row>
    <row r="437" ht="14.25" customHeight="1" spans="1:17" x14ac:dyDescent="0.25">
      <c r="E437" s="62"/>
      <c r="J437" s="62"/>
      <c r="K437" s="63"/>
      <c r="O437" s="62"/>
      <c r="Q437" s="62"/>
    </row>
    <row r="438" ht="14.25" customHeight="1" spans="1:17" x14ac:dyDescent="0.25">
      <c r="E438" s="62"/>
      <c r="J438" s="62"/>
      <c r="K438" s="63"/>
      <c r="O438" s="62"/>
      <c r="Q438" s="62"/>
    </row>
    <row r="439" ht="14.25" customHeight="1" spans="1:17" x14ac:dyDescent="0.25">
      <c r="E439" s="62"/>
      <c r="J439" s="62"/>
      <c r="K439" s="63"/>
      <c r="O439" s="62"/>
      <c r="Q439" s="62"/>
    </row>
    <row r="440" ht="14.25" customHeight="1" spans="1:17" x14ac:dyDescent="0.25">
      <c r="E440" s="62"/>
      <c r="J440" s="62"/>
      <c r="K440" s="63"/>
      <c r="O440" s="62"/>
      <c r="Q440" s="62"/>
    </row>
    <row r="441" ht="14.25" customHeight="1" spans="1:17" x14ac:dyDescent="0.25">
      <c r="E441" s="62"/>
      <c r="J441" s="62"/>
      <c r="K441" s="63"/>
      <c r="O441" s="62"/>
      <c r="Q441" s="62"/>
    </row>
    <row r="442" ht="14.25" customHeight="1" spans="1:17" x14ac:dyDescent="0.25">
      <c r="E442" s="62"/>
      <c r="J442" s="62"/>
      <c r="K442" s="63"/>
      <c r="O442" s="62"/>
      <c r="Q442" s="62"/>
    </row>
    <row r="443" ht="14.25" customHeight="1" spans="1:17" x14ac:dyDescent="0.25">
      <c r="E443" s="62"/>
      <c r="J443" s="62"/>
      <c r="K443" s="63"/>
      <c r="O443" s="62"/>
      <c r="Q443" s="62"/>
    </row>
    <row r="444" ht="14.25" customHeight="1" spans="1:17" x14ac:dyDescent="0.25">
      <c r="E444" s="62"/>
      <c r="J444" s="62"/>
      <c r="K444" s="63"/>
      <c r="O444" s="62"/>
      <c r="Q444" s="62"/>
    </row>
    <row r="445" ht="14.25" customHeight="1" spans="1:17" x14ac:dyDescent="0.25">
      <c r="E445" s="62"/>
      <c r="J445" s="62"/>
      <c r="K445" s="63"/>
      <c r="O445" s="62"/>
      <c r="Q445" s="62"/>
    </row>
    <row r="446" ht="14.25" customHeight="1" spans="1:17" x14ac:dyDescent="0.25">
      <c r="E446" s="62"/>
      <c r="J446" s="62"/>
      <c r="K446" s="63"/>
      <c r="O446" s="62"/>
      <c r="Q446" s="62"/>
    </row>
    <row r="447" ht="14.25" customHeight="1" spans="1:17" x14ac:dyDescent="0.25">
      <c r="E447" s="62"/>
      <c r="J447" s="62"/>
      <c r="K447" s="63"/>
      <c r="O447" s="62"/>
      <c r="Q447" s="62"/>
    </row>
    <row r="448" ht="14.25" customHeight="1" spans="1:17" x14ac:dyDescent="0.25">
      <c r="E448" s="62"/>
      <c r="J448" s="62"/>
      <c r="K448" s="63"/>
      <c r="O448" s="62"/>
      <c r="Q448" s="62"/>
    </row>
    <row r="449" ht="14.25" customHeight="1" spans="1:17" x14ac:dyDescent="0.25">
      <c r="E449" s="62"/>
      <c r="J449" s="62"/>
      <c r="K449" s="63"/>
      <c r="O449" s="62"/>
      <c r="Q449" s="62"/>
    </row>
    <row r="450" ht="14.25" customHeight="1" spans="1:17" x14ac:dyDescent="0.25">
      <c r="E450" s="62"/>
      <c r="J450" s="62"/>
      <c r="K450" s="63"/>
      <c r="O450" s="62"/>
      <c r="Q450" s="62"/>
    </row>
    <row r="451" ht="14.25" customHeight="1" spans="1:17" x14ac:dyDescent="0.25">
      <c r="E451" s="62"/>
      <c r="J451" s="62"/>
      <c r="K451" s="63"/>
      <c r="O451" s="62"/>
      <c r="Q451" s="62"/>
    </row>
    <row r="452" ht="14.25" customHeight="1" spans="1:17" x14ac:dyDescent="0.25">
      <c r="E452" s="62"/>
      <c r="J452" s="62"/>
      <c r="K452" s="63"/>
      <c r="O452" s="62"/>
      <c r="Q452" s="62"/>
    </row>
    <row r="453" ht="14.25" customHeight="1" spans="1:17" x14ac:dyDescent="0.25">
      <c r="E453" s="62"/>
      <c r="J453" s="62"/>
      <c r="K453" s="63"/>
      <c r="O453" s="62"/>
      <c r="Q453" s="62"/>
    </row>
    <row r="454" ht="14.25" customHeight="1" spans="1:17" x14ac:dyDescent="0.25">
      <c r="E454" s="62"/>
      <c r="J454" s="62"/>
      <c r="K454" s="63"/>
      <c r="O454" s="62"/>
      <c r="Q454" s="62"/>
    </row>
    <row r="455" ht="14.25" customHeight="1" spans="1:17" x14ac:dyDescent="0.25">
      <c r="E455" s="62"/>
      <c r="J455" s="62"/>
      <c r="K455" s="63"/>
      <c r="O455" s="62"/>
      <c r="Q455" s="62"/>
    </row>
    <row r="456" ht="14.25" customHeight="1" spans="1:17" x14ac:dyDescent="0.25">
      <c r="E456" s="62"/>
      <c r="J456" s="62"/>
      <c r="K456" s="63"/>
      <c r="O456" s="62"/>
      <c r="Q456" s="62"/>
    </row>
    <row r="457" ht="14.25" customHeight="1" spans="1:17" x14ac:dyDescent="0.25">
      <c r="E457" s="62"/>
      <c r="J457" s="62"/>
      <c r="K457" s="63"/>
      <c r="O457" s="62"/>
      <c r="Q457" s="62"/>
    </row>
    <row r="458" ht="14.25" customHeight="1" spans="1:17" x14ac:dyDescent="0.25">
      <c r="E458" s="62"/>
      <c r="J458" s="62"/>
      <c r="K458" s="63"/>
      <c r="O458" s="62"/>
      <c r="Q458" s="62"/>
    </row>
    <row r="459" ht="14.25" customHeight="1" spans="1:17" x14ac:dyDescent="0.25">
      <c r="E459" s="62"/>
      <c r="J459" s="62"/>
      <c r="K459" s="63"/>
      <c r="O459" s="62"/>
      <c r="Q459" s="62"/>
    </row>
    <row r="460" ht="14.25" customHeight="1" spans="1:17" x14ac:dyDescent="0.25">
      <c r="E460" s="62"/>
      <c r="J460" s="62"/>
      <c r="K460" s="63"/>
      <c r="O460" s="62"/>
      <c r="Q460" s="62"/>
    </row>
    <row r="461" ht="14.25" customHeight="1" spans="1:17" x14ac:dyDescent="0.25">
      <c r="E461" s="62"/>
      <c r="J461" s="62"/>
      <c r="K461" s="63"/>
      <c r="O461" s="62"/>
      <c r="Q461" s="62"/>
    </row>
    <row r="462" ht="14.25" customHeight="1" spans="1:17" x14ac:dyDescent="0.25">
      <c r="E462" s="62"/>
      <c r="J462" s="62"/>
      <c r="K462" s="63"/>
      <c r="O462" s="62"/>
      <c r="Q462" s="62"/>
    </row>
    <row r="463" ht="14.25" customHeight="1" spans="1:17" x14ac:dyDescent="0.25">
      <c r="E463" s="62"/>
      <c r="J463" s="62"/>
      <c r="K463" s="63"/>
      <c r="O463" s="62"/>
      <c r="Q463" s="62"/>
    </row>
    <row r="464" ht="14.25" customHeight="1" spans="1:17" x14ac:dyDescent="0.25">
      <c r="E464" s="62"/>
      <c r="J464" s="62"/>
      <c r="K464" s="63"/>
      <c r="O464" s="62"/>
      <c r="Q464" s="62"/>
    </row>
    <row r="465" ht="14.25" customHeight="1" spans="1:17" x14ac:dyDescent="0.25">
      <c r="E465" s="62"/>
      <c r="J465" s="62"/>
      <c r="K465" s="63"/>
      <c r="O465" s="62"/>
      <c r="Q465" s="62"/>
    </row>
    <row r="466" ht="14.25" customHeight="1" spans="1:17" x14ac:dyDescent="0.25">
      <c r="E466" s="62"/>
      <c r="J466" s="62"/>
      <c r="K466" s="63"/>
      <c r="O466" s="62"/>
      <c r="Q466" s="62"/>
    </row>
    <row r="467" ht="14.25" customHeight="1" spans="1:17" x14ac:dyDescent="0.25">
      <c r="E467" s="62"/>
      <c r="J467" s="62"/>
      <c r="K467" s="63"/>
      <c r="O467" s="62"/>
      <c r="Q467" s="62"/>
    </row>
    <row r="468" ht="14.25" customHeight="1" spans="1:17" x14ac:dyDescent="0.25">
      <c r="E468" s="62"/>
      <c r="J468" s="62"/>
      <c r="K468" s="63"/>
      <c r="O468" s="62"/>
      <c r="Q468" s="62"/>
    </row>
    <row r="469" ht="14.25" customHeight="1" spans="1:17" x14ac:dyDescent="0.25">
      <c r="E469" s="62"/>
      <c r="J469" s="62"/>
      <c r="K469" s="63"/>
      <c r="O469" s="62"/>
      <c r="Q469" s="62"/>
    </row>
    <row r="470" ht="14.25" customHeight="1" spans="1:17" x14ac:dyDescent="0.25">
      <c r="E470" s="62"/>
      <c r="J470" s="62"/>
      <c r="K470" s="63"/>
      <c r="O470" s="62"/>
      <c r="Q470" s="62"/>
    </row>
    <row r="471" ht="14.25" customHeight="1" spans="1:17" x14ac:dyDescent="0.25">
      <c r="E471" s="62"/>
      <c r="J471" s="62"/>
      <c r="K471" s="63"/>
      <c r="O471" s="62"/>
      <c r="Q471" s="62"/>
    </row>
    <row r="472" ht="14.25" customHeight="1" spans="1:17" x14ac:dyDescent="0.25">
      <c r="E472" s="62"/>
      <c r="J472" s="62"/>
      <c r="K472" s="63"/>
      <c r="O472" s="62"/>
      <c r="Q472" s="62"/>
    </row>
    <row r="473" ht="14.25" customHeight="1" spans="1:17" x14ac:dyDescent="0.25">
      <c r="E473" s="62"/>
      <c r="J473" s="62"/>
      <c r="K473" s="63"/>
      <c r="O473" s="62"/>
      <c r="Q473" s="62"/>
    </row>
    <row r="474" ht="14.25" customHeight="1" spans="1:17" x14ac:dyDescent="0.25">
      <c r="E474" s="62"/>
      <c r="J474" s="62"/>
      <c r="K474" s="63"/>
      <c r="O474" s="62"/>
      <c r="Q474" s="62"/>
    </row>
    <row r="475" ht="14.25" customHeight="1" spans="1:17" x14ac:dyDescent="0.25">
      <c r="E475" s="62"/>
      <c r="J475" s="62"/>
      <c r="K475" s="63"/>
      <c r="O475" s="62"/>
      <c r="Q475" s="62"/>
    </row>
    <row r="476" ht="14.25" customHeight="1" spans="1:17" x14ac:dyDescent="0.25">
      <c r="E476" s="62"/>
      <c r="J476" s="62"/>
      <c r="K476" s="63"/>
      <c r="O476" s="62"/>
      <c r="Q476" s="62"/>
    </row>
    <row r="477" ht="14.25" customHeight="1" spans="1:17" x14ac:dyDescent="0.25">
      <c r="E477" s="62"/>
      <c r="J477" s="62"/>
      <c r="K477" s="63"/>
      <c r="O477" s="62"/>
      <c r="Q477" s="62"/>
    </row>
    <row r="478" ht="14.25" customHeight="1" spans="1:17" x14ac:dyDescent="0.25">
      <c r="E478" s="62"/>
      <c r="J478" s="62"/>
      <c r="K478" s="63"/>
      <c r="O478" s="62"/>
      <c r="Q478" s="62"/>
    </row>
    <row r="479" ht="14.25" customHeight="1" spans="1:17" x14ac:dyDescent="0.25">
      <c r="E479" s="62"/>
      <c r="J479" s="62"/>
      <c r="K479" s="63"/>
      <c r="O479" s="62"/>
      <c r="Q479" s="62"/>
    </row>
    <row r="480" ht="14.25" customHeight="1" spans="1:17" x14ac:dyDescent="0.25">
      <c r="E480" s="62"/>
      <c r="J480" s="62"/>
      <c r="K480" s="63"/>
      <c r="O480" s="62"/>
      <c r="Q480" s="62"/>
    </row>
    <row r="481" ht="14.25" customHeight="1" spans="1:17" x14ac:dyDescent="0.25">
      <c r="E481" s="62"/>
      <c r="J481" s="62"/>
      <c r="K481" s="63"/>
      <c r="O481" s="62"/>
      <c r="Q481" s="62"/>
    </row>
    <row r="482" ht="14.25" customHeight="1" spans="1:17" x14ac:dyDescent="0.25">
      <c r="E482" s="62"/>
      <c r="J482" s="62"/>
      <c r="K482" s="63"/>
      <c r="O482" s="62"/>
      <c r="Q482" s="62"/>
    </row>
    <row r="483" ht="14.25" customHeight="1" spans="1:17" x14ac:dyDescent="0.25">
      <c r="E483" s="62"/>
      <c r="J483" s="62"/>
      <c r="K483" s="63"/>
      <c r="O483" s="62"/>
      <c r="Q483" s="62"/>
    </row>
    <row r="484" ht="14.25" customHeight="1" spans="1:17" x14ac:dyDescent="0.25">
      <c r="E484" s="62"/>
      <c r="J484" s="62"/>
      <c r="K484" s="63"/>
      <c r="O484" s="62"/>
      <c r="Q484" s="62"/>
    </row>
    <row r="485" ht="14.25" customHeight="1" spans="1:17" x14ac:dyDescent="0.25">
      <c r="E485" s="62"/>
      <c r="J485" s="62"/>
      <c r="K485" s="63"/>
      <c r="O485" s="62"/>
      <c r="Q485" s="62"/>
    </row>
    <row r="486" ht="14.25" customHeight="1" spans="1:17" x14ac:dyDescent="0.25">
      <c r="E486" s="62"/>
      <c r="J486" s="62"/>
      <c r="K486" s="63"/>
      <c r="O486" s="62"/>
      <c r="Q486" s="62"/>
    </row>
    <row r="487" ht="14.25" customHeight="1" spans="1:17" x14ac:dyDescent="0.25">
      <c r="E487" s="62"/>
      <c r="J487" s="62"/>
      <c r="K487" s="63"/>
      <c r="O487" s="62"/>
      <c r="Q487" s="62"/>
    </row>
    <row r="488" ht="14.25" customHeight="1" spans="1:17" x14ac:dyDescent="0.25">
      <c r="E488" s="62"/>
      <c r="J488" s="62"/>
      <c r="K488" s="63"/>
      <c r="O488" s="62"/>
      <c r="Q488" s="62"/>
    </row>
    <row r="489" ht="14.25" customHeight="1" spans="1:17" x14ac:dyDescent="0.25">
      <c r="E489" s="62"/>
      <c r="J489" s="62"/>
      <c r="K489" s="63"/>
      <c r="O489" s="62"/>
      <c r="Q489" s="62"/>
    </row>
    <row r="490" ht="14.25" customHeight="1" spans="1:17" x14ac:dyDescent="0.25">
      <c r="E490" s="62"/>
      <c r="J490" s="62"/>
      <c r="K490" s="63"/>
      <c r="O490" s="62"/>
      <c r="Q490" s="62"/>
    </row>
    <row r="491" ht="14.25" customHeight="1" spans="1:17" x14ac:dyDescent="0.25">
      <c r="E491" s="62"/>
      <c r="J491" s="62"/>
      <c r="K491" s="63"/>
      <c r="O491" s="62"/>
      <c r="Q491" s="62"/>
    </row>
    <row r="492" ht="14.25" customHeight="1" spans="1:17" x14ac:dyDescent="0.25">
      <c r="E492" s="62"/>
      <c r="J492" s="62"/>
      <c r="K492" s="63"/>
      <c r="O492" s="62"/>
      <c r="Q492" s="62"/>
    </row>
    <row r="493" ht="14.25" customHeight="1" spans="1:17" x14ac:dyDescent="0.25">
      <c r="E493" s="62"/>
      <c r="J493" s="62"/>
      <c r="K493" s="63"/>
      <c r="O493" s="62"/>
      <c r="Q493" s="62"/>
    </row>
    <row r="494" ht="14.25" customHeight="1" spans="1:17" x14ac:dyDescent="0.25">
      <c r="E494" s="62"/>
      <c r="J494" s="62"/>
      <c r="K494" s="63"/>
      <c r="O494" s="62"/>
      <c r="Q494" s="62"/>
    </row>
    <row r="495" ht="14.25" customHeight="1" spans="1:17" x14ac:dyDescent="0.25">
      <c r="E495" s="62"/>
      <c r="J495" s="62"/>
      <c r="K495" s="63"/>
      <c r="O495" s="62"/>
      <c r="Q495" s="62"/>
    </row>
    <row r="496" ht="14.25" customHeight="1" spans="1:17" x14ac:dyDescent="0.25">
      <c r="E496" s="62"/>
      <c r="J496" s="62"/>
      <c r="K496" s="63"/>
      <c r="O496" s="62"/>
      <c r="Q496" s="62"/>
    </row>
    <row r="497" ht="14.25" customHeight="1" spans="1:17" x14ac:dyDescent="0.25">
      <c r="E497" s="62"/>
      <c r="J497" s="62"/>
      <c r="K497" s="63"/>
      <c r="O497" s="62"/>
      <c r="Q497" s="62"/>
    </row>
    <row r="498" ht="14.25" customHeight="1" spans="1:17" x14ac:dyDescent="0.25">
      <c r="E498" s="62"/>
      <c r="J498" s="62"/>
      <c r="K498" s="63"/>
      <c r="O498" s="62"/>
      <c r="Q498" s="62"/>
    </row>
    <row r="499" ht="14.25" customHeight="1" spans="1:17" x14ac:dyDescent="0.25">
      <c r="E499" s="62"/>
      <c r="J499" s="62"/>
      <c r="K499" s="63"/>
      <c r="O499" s="62"/>
      <c r="Q499" s="62"/>
    </row>
    <row r="500" ht="14.25" customHeight="1" spans="1:17" x14ac:dyDescent="0.25">
      <c r="E500" s="62"/>
      <c r="J500" s="62"/>
      <c r="K500" s="63"/>
      <c r="O500" s="62"/>
      <c r="Q500" s="62"/>
    </row>
    <row r="501" ht="14.25" customHeight="1" spans="1:17" x14ac:dyDescent="0.25">
      <c r="E501" s="62"/>
      <c r="J501" s="62"/>
      <c r="K501" s="63"/>
      <c r="O501" s="62"/>
      <c r="Q501" s="62"/>
    </row>
    <row r="502" ht="14.25" customHeight="1" spans="1:17" x14ac:dyDescent="0.25">
      <c r="E502" s="62"/>
      <c r="J502" s="62"/>
      <c r="K502" s="63"/>
      <c r="O502" s="62"/>
      <c r="Q502" s="62"/>
    </row>
    <row r="503" ht="14.25" customHeight="1" spans="1:17" x14ac:dyDescent="0.25">
      <c r="E503" s="62"/>
      <c r="J503" s="62"/>
      <c r="K503" s="63"/>
      <c r="O503" s="62"/>
      <c r="Q503" s="62"/>
    </row>
    <row r="504" ht="14.25" customHeight="1" spans="1:17" x14ac:dyDescent="0.25">
      <c r="E504" s="62"/>
      <c r="J504" s="62"/>
      <c r="K504" s="63"/>
      <c r="O504" s="62"/>
      <c r="Q504" s="62"/>
    </row>
    <row r="505" ht="14.25" customHeight="1" spans="1:17" x14ac:dyDescent="0.25">
      <c r="E505" s="62"/>
      <c r="J505" s="62"/>
      <c r="K505" s="63"/>
      <c r="O505" s="62"/>
      <c r="Q505" s="62"/>
    </row>
    <row r="506" ht="14.25" customHeight="1" spans="1:17" x14ac:dyDescent="0.25">
      <c r="E506" s="62"/>
      <c r="J506" s="62"/>
      <c r="K506" s="63"/>
      <c r="O506" s="62"/>
      <c r="Q506" s="62"/>
    </row>
    <row r="507" ht="14.25" customHeight="1" spans="1:17" x14ac:dyDescent="0.25">
      <c r="E507" s="62"/>
      <c r="J507" s="62"/>
      <c r="K507" s="63"/>
      <c r="O507" s="62"/>
      <c r="Q507" s="62"/>
    </row>
    <row r="508" ht="14.25" customHeight="1" spans="1:17" x14ac:dyDescent="0.25">
      <c r="E508" s="62"/>
      <c r="J508" s="62"/>
      <c r="K508" s="63"/>
      <c r="O508" s="62"/>
      <c r="Q508" s="62"/>
    </row>
    <row r="509" ht="14.25" customHeight="1" spans="1:17" x14ac:dyDescent="0.25">
      <c r="E509" s="62"/>
      <c r="J509" s="62"/>
      <c r="K509" s="63"/>
      <c r="O509" s="62"/>
      <c r="Q509" s="62"/>
    </row>
    <row r="510" ht="14.25" customHeight="1" spans="1:17" x14ac:dyDescent="0.25">
      <c r="E510" s="62"/>
      <c r="J510" s="62"/>
      <c r="K510" s="63"/>
      <c r="O510" s="62"/>
      <c r="Q510" s="62"/>
    </row>
    <row r="511" ht="14.25" customHeight="1" spans="1:17" x14ac:dyDescent="0.25">
      <c r="E511" s="62"/>
      <c r="J511" s="62"/>
      <c r="K511" s="63"/>
      <c r="O511" s="62"/>
      <c r="Q511" s="62"/>
    </row>
    <row r="512" ht="14.25" customHeight="1" spans="1:17" x14ac:dyDescent="0.25">
      <c r="E512" s="62"/>
      <c r="J512" s="62"/>
      <c r="K512" s="63"/>
      <c r="O512" s="62"/>
      <c r="Q512" s="62"/>
    </row>
    <row r="513" ht="14.25" customHeight="1" spans="1:17" x14ac:dyDescent="0.25">
      <c r="E513" s="62"/>
      <c r="J513" s="62"/>
      <c r="K513" s="63"/>
      <c r="O513" s="62"/>
      <c r="Q513" s="62"/>
    </row>
    <row r="514" ht="14.25" customHeight="1" spans="1:17" x14ac:dyDescent="0.25">
      <c r="E514" s="62"/>
      <c r="J514" s="62"/>
      <c r="K514" s="63"/>
      <c r="O514" s="62"/>
      <c r="Q514" s="62"/>
    </row>
    <row r="515" ht="14.25" customHeight="1" spans="1:17" x14ac:dyDescent="0.25">
      <c r="E515" s="62"/>
      <c r="J515" s="62"/>
      <c r="K515" s="63"/>
      <c r="O515" s="62"/>
      <c r="Q515" s="62"/>
    </row>
    <row r="516" ht="14.25" customHeight="1" spans="1:17" x14ac:dyDescent="0.25">
      <c r="E516" s="62"/>
      <c r="J516" s="62"/>
      <c r="K516" s="63"/>
      <c r="O516" s="62"/>
      <c r="Q516" s="62"/>
    </row>
    <row r="517" ht="14.25" customHeight="1" spans="1:17" x14ac:dyDescent="0.25">
      <c r="E517" s="62"/>
      <c r="J517" s="62"/>
      <c r="K517" s="63"/>
      <c r="O517" s="62"/>
      <c r="Q517" s="62"/>
    </row>
    <row r="518" ht="14.25" customHeight="1" spans="1:17" x14ac:dyDescent="0.25">
      <c r="E518" s="62"/>
      <c r="J518" s="62"/>
      <c r="K518" s="63"/>
      <c r="O518" s="62"/>
      <c r="Q518" s="62"/>
    </row>
    <row r="519" ht="14.25" customHeight="1" spans="1:17" x14ac:dyDescent="0.25">
      <c r="E519" s="62"/>
      <c r="J519" s="62"/>
      <c r="K519" s="63"/>
      <c r="O519" s="62"/>
      <c r="Q519" s="62"/>
    </row>
    <row r="520" ht="14.25" customHeight="1" spans="1:17" x14ac:dyDescent="0.25">
      <c r="E520" s="62"/>
      <c r="J520" s="62"/>
      <c r="K520" s="63"/>
      <c r="O520" s="62"/>
      <c r="Q520" s="62"/>
    </row>
    <row r="521" ht="14.25" customHeight="1" spans="1:17" x14ac:dyDescent="0.25">
      <c r="E521" s="62"/>
      <c r="J521" s="62"/>
      <c r="K521" s="63"/>
      <c r="O521" s="62"/>
      <c r="Q521" s="62"/>
    </row>
    <row r="522" ht="14.25" customHeight="1" spans="1:17" x14ac:dyDescent="0.25">
      <c r="E522" s="62"/>
      <c r="J522" s="62"/>
      <c r="K522" s="63"/>
      <c r="O522" s="62"/>
      <c r="Q522" s="62"/>
    </row>
    <row r="523" ht="14.25" customHeight="1" spans="1:17" x14ac:dyDescent="0.25">
      <c r="E523" s="62"/>
      <c r="J523" s="62"/>
      <c r="K523" s="63"/>
      <c r="O523" s="62"/>
      <c r="Q523" s="62"/>
    </row>
    <row r="524" ht="14.25" customHeight="1" spans="1:17" x14ac:dyDescent="0.25">
      <c r="E524" s="62"/>
      <c r="J524" s="62"/>
      <c r="K524" s="63"/>
      <c r="O524" s="62"/>
      <c r="Q524" s="62"/>
    </row>
    <row r="525" ht="14.25" customHeight="1" spans="1:17" x14ac:dyDescent="0.25">
      <c r="E525" s="62"/>
      <c r="J525" s="62"/>
      <c r="K525" s="63"/>
      <c r="O525" s="62"/>
      <c r="Q525" s="62"/>
    </row>
    <row r="526" ht="14.25" customHeight="1" spans="1:17" x14ac:dyDescent="0.25">
      <c r="E526" s="62"/>
      <c r="J526" s="62"/>
      <c r="K526" s="63"/>
      <c r="O526" s="62"/>
      <c r="Q526" s="62"/>
    </row>
    <row r="527" ht="14.25" customHeight="1" spans="1:17" x14ac:dyDescent="0.25">
      <c r="E527" s="62"/>
      <c r="J527" s="62"/>
      <c r="K527" s="63"/>
      <c r="O527" s="62"/>
      <c r="Q527" s="62"/>
    </row>
    <row r="528" ht="14.25" customHeight="1" spans="1:17" x14ac:dyDescent="0.25">
      <c r="E528" s="62"/>
      <c r="J528" s="62"/>
      <c r="K528" s="63"/>
      <c r="O528" s="62"/>
      <c r="Q528" s="62"/>
    </row>
    <row r="529" ht="14.25" customHeight="1" spans="1:17" x14ac:dyDescent="0.25">
      <c r="E529" s="62"/>
      <c r="J529" s="62"/>
      <c r="K529" s="63"/>
      <c r="O529" s="62"/>
      <c r="Q529" s="62"/>
    </row>
    <row r="530" ht="14.25" customHeight="1" spans="1:17" x14ac:dyDescent="0.25">
      <c r="E530" s="62"/>
      <c r="J530" s="62"/>
      <c r="K530" s="63"/>
      <c r="O530" s="62"/>
      <c r="Q530" s="62"/>
    </row>
    <row r="531" ht="14.25" customHeight="1" spans="1:17" x14ac:dyDescent="0.25">
      <c r="E531" s="62"/>
      <c r="J531" s="62"/>
      <c r="K531" s="63"/>
      <c r="O531" s="62"/>
      <c r="Q531" s="62"/>
    </row>
    <row r="532" ht="14.25" customHeight="1" spans="1:17" x14ac:dyDescent="0.25">
      <c r="E532" s="62"/>
      <c r="J532" s="62"/>
      <c r="K532" s="63"/>
      <c r="O532" s="62"/>
      <c r="Q532" s="62"/>
    </row>
    <row r="533" ht="14.25" customHeight="1" spans="1:17" x14ac:dyDescent="0.25">
      <c r="E533" s="62"/>
      <c r="J533" s="62"/>
      <c r="K533" s="63"/>
      <c r="O533" s="62"/>
      <c r="Q533" s="62"/>
    </row>
    <row r="534" ht="14.25" customHeight="1" spans="1:17" x14ac:dyDescent="0.25">
      <c r="E534" s="62"/>
      <c r="J534" s="62"/>
      <c r="K534" s="63"/>
      <c r="O534" s="62"/>
      <c r="Q534" s="62"/>
    </row>
    <row r="535" ht="14.25" customHeight="1" spans="1:17" x14ac:dyDescent="0.25">
      <c r="E535" s="62"/>
      <c r="J535" s="62"/>
      <c r="K535" s="63"/>
      <c r="O535" s="62"/>
      <c r="Q535" s="62"/>
    </row>
    <row r="536" ht="14.25" customHeight="1" spans="1:17" x14ac:dyDescent="0.25">
      <c r="E536" s="62"/>
      <c r="J536" s="62"/>
      <c r="K536" s="63"/>
      <c r="O536" s="62"/>
      <c r="Q536" s="62"/>
    </row>
    <row r="537" ht="14.25" customHeight="1" spans="1:17" x14ac:dyDescent="0.25">
      <c r="E537" s="62"/>
      <c r="J537" s="62"/>
      <c r="K537" s="63"/>
      <c r="O537" s="62"/>
      <c r="Q537" s="62"/>
    </row>
    <row r="538" ht="14.25" customHeight="1" spans="1:17" x14ac:dyDescent="0.25">
      <c r="E538" s="62"/>
      <c r="J538" s="62"/>
      <c r="K538" s="63"/>
      <c r="O538" s="62"/>
      <c r="Q538" s="62"/>
    </row>
    <row r="539" ht="14.25" customHeight="1" spans="1:17" x14ac:dyDescent="0.25">
      <c r="E539" s="62"/>
      <c r="J539" s="62"/>
      <c r="K539" s="63"/>
      <c r="O539" s="62"/>
      <c r="Q539" s="62"/>
    </row>
    <row r="540" ht="14.25" customHeight="1" spans="1:17" x14ac:dyDescent="0.25">
      <c r="E540" s="62"/>
      <c r="J540" s="62"/>
      <c r="K540" s="63"/>
      <c r="O540" s="62"/>
      <c r="Q540" s="62"/>
    </row>
    <row r="541" ht="14.25" customHeight="1" spans="1:17" x14ac:dyDescent="0.25">
      <c r="E541" s="62"/>
      <c r="J541" s="62"/>
      <c r="K541" s="63"/>
      <c r="O541" s="62"/>
      <c r="Q541" s="62"/>
    </row>
    <row r="542" ht="14.25" customHeight="1" spans="1:17" x14ac:dyDescent="0.25">
      <c r="E542" s="62"/>
      <c r="J542" s="62"/>
      <c r="K542" s="63"/>
      <c r="O542" s="62"/>
      <c r="Q542" s="62"/>
    </row>
    <row r="543" ht="14.25" customHeight="1" spans="1:17" x14ac:dyDescent="0.25">
      <c r="E543" s="62"/>
      <c r="J543" s="62"/>
      <c r="K543" s="63"/>
      <c r="O543" s="62"/>
      <c r="Q543" s="62"/>
    </row>
    <row r="544" ht="14.25" customHeight="1" spans="1:17" x14ac:dyDescent="0.25">
      <c r="E544" s="62"/>
      <c r="J544" s="62"/>
      <c r="K544" s="63"/>
      <c r="O544" s="62"/>
      <c r="Q544" s="62"/>
    </row>
    <row r="545" ht="14.25" customHeight="1" spans="1:17" x14ac:dyDescent="0.25">
      <c r="E545" s="62"/>
      <c r="J545" s="62"/>
      <c r="K545" s="63"/>
      <c r="O545" s="62"/>
      <c r="Q545" s="62"/>
    </row>
    <row r="546" ht="14.25" customHeight="1" spans="1:17" x14ac:dyDescent="0.25">
      <c r="E546" s="62"/>
      <c r="J546" s="62"/>
      <c r="K546" s="63"/>
      <c r="O546" s="62"/>
      <c r="Q546" s="62"/>
    </row>
    <row r="547" ht="14.25" customHeight="1" spans="1:17" x14ac:dyDescent="0.25">
      <c r="E547" s="62"/>
      <c r="J547" s="62"/>
      <c r="K547" s="63"/>
      <c r="O547" s="62"/>
      <c r="Q547" s="62"/>
    </row>
    <row r="548" ht="14.25" customHeight="1" spans="1:17" x14ac:dyDescent="0.25">
      <c r="E548" s="62"/>
      <c r="J548" s="62"/>
      <c r="K548" s="63"/>
      <c r="O548" s="62"/>
      <c r="Q548" s="62"/>
    </row>
    <row r="549" ht="14.25" customHeight="1" spans="1:17" x14ac:dyDescent="0.25">
      <c r="E549" s="62"/>
      <c r="J549" s="62"/>
      <c r="K549" s="63"/>
      <c r="O549" s="62"/>
      <c r="Q549" s="62"/>
    </row>
    <row r="550" ht="14.25" customHeight="1" spans="1:17" x14ac:dyDescent="0.25">
      <c r="E550" s="62"/>
      <c r="J550" s="62"/>
      <c r="K550" s="63"/>
      <c r="O550" s="62"/>
      <c r="Q550" s="62"/>
    </row>
    <row r="551" ht="14.25" customHeight="1" spans="1:17" x14ac:dyDescent="0.25">
      <c r="E551" s="62"/>
      <c r="J551" s="62"/>
      <c r="K551" s="63"/>
      <c r="O551" s="62"/>
      <c r="Q551" s="62"/>
    </row>
    <row r="552" ht="14.25" customHeight="1" spans="1:17" x14ac:dyDescent="0.25">
      <c r="E552" s="62"/>
      <c r="J552" s="62"/>
      <c r="K552" s="63"/>
      <c r="O552" s="62"/>
      <c r="Q552" s="62"/>
    </row>
    <row r="553" ht="14.25" customHeight="1" spans="1:17" x14ac:dyDescent="0.25">
      <c r="E553" s="62"/>
      <c r="J553" s="62"/>
      <c r="K553" s="63"/>
      <c r="O553" s="62"/>
      <c r="Q553" s="62"/>
    </row>
    <row r="554" ht="14.25" customHeight="1" spans="1:17" x14ac:dyDescent="0.25">
      <c r="E554" s="62"/>
      <c r="J554" s="62"/>
      <c r="K554" s="63"/>
      <c r="O554" s="62"/>
      <c r="Q554" s="62"/>
    </row>
    <row r="555" ht="14.25" customHeight="1" spans="1:17" x14ac:dyDescent="0.25">
      <c r="E555" s="62"/>
      <c r="J555" s="62"/>
      <c r="K555" s="63"/>
      <c r="O555" s="62"/>
      <c r="Q555" s="62"/>
    </row>
    <row r="556" ht="14.25" customHeight="1" spans="1:17" x14ac:dyDescent="0.25">
      <c r="E556" s="62"/>
      <c r="J556" s="62"/>
      <c r="K556" s="63"/>
      <c r="O556" s="62"/>
      <c r="Q556" s="62"/>
    </row>
    <row r="557" ht="14.25" customHeight="1" spans="1:17" x14ac:dyDescent="0.25">
      <c r="E557" s="62"/>
      <c r="J557" s="62"/>
      <c r="K557" s="63"/>
      <c r="O557" s="62"/>
      <c r="Q557" s="62"/>
    </row>
    <row r="558" ht="14.25" customHeight="1" spans="1:17" x14ac:dyDescent="0.25">
      <c r="E558" s="62"/>
      <c r="J558" s="62"/>
      <c r="K558" s="63"/>
      <c r="O558" s="62"/>
      <c r="Q558" s="62"/>
    </row>
    <row r="559" ht="14.25" customHeight="1" spans="1:17" x14ac:dyDescent="0.25">
      <c r="E559" s="62"/>
      <c r="J559" s="62"/>
      <c r="K559" s="63"/>
      <c r="O559" s="62"/>
      <c r="Q559" s="62"/>
    </row>
    <row r="560" ht="14.25" customHeight="1" spans="1:17" x14ac:dyDescent="0.25">
      <c r="E560" s="62"/>
      <c r="J560" s="62"/>
      <c r="K560" s="63"/>
      <c r="O560" s="62"/>
      <c r="Q560" s="62"/>
    </row>
    <row r="561" ht="14.25" customHeight="1" spans="1:17" x14ac:dyDescent="0.25">
      <c r="E561" s="62"/>
      <c r="J561" s="62"/>
      <c r="K561" s="63"/>
      <c r="O561" s="62"/>
      <c r="Q561" s="62"/>
    </row>
    <row r="562" ht="14.25" customHeight="1" spans="1:17" x14ac:dyDescent="0.25">
      <c r="E562" s="62"/>
      <c r="J562" s="62"/>
      <c r="K562" s="63"/>
      <c r="O562" s="62"/>
      <c r="Q562" s="62"/>
    </row>
    <row r="563" ht="14.25" customHeight="1" spans="1:17" x14ac:dyDescent="0.25">
      <c r="E563" s="62"/>
      <c r="J563" s="62"/>
      <c r="K563" s="63"/>
      <c r="O563" s="62"/>
      <c r="Q563" s="62"/>
    </row>
    <row r="564" ht="14.25" customHeight="1" spans="1:17" x14ac:dyDescent="0.25">
      <c r="E564" s="62"/>
      <c r="J564" s="62"/>
      <c r="K564" s="63"/>
      <c r="O564" s="62"/>
      <c r="Q564" s="62"/>
    </row>
    <row r="565" ht="14.25" customHeight="1" spans="1:17" x14ac:dyDescent="0.25">
      <c r="E565" s="62"/>
      <c r="J565" s="62"/>
      <c r="K565" s="63"/>
      <c r="O565" s="62"/>
      <c r="Q565" s="62"/>
    </row>
    <row r="566" ht="14.25" customHeight="1" spans="1:17" x14ac:dyDescent="0.25">
      <c r="E566" s="62"/>
      <c r="J566" s="62"/>
      <c r="K566" s="63"/>
      <c r="O566" s="62"/>
      <c r="Q566" s="62"/>
    </row>
    <row r="567" ht="14.25" customHeight="1" spans="1:17" x14ac:dyDescent="0.25">
      <c r="E567" s="62"/>
      <c r="J567" s="62"/>
      <c r="K567" s="63"/>
      <c r="O567" s="62"/>
      <c r="Q567" s="62"/>
    </row>
    <row r="568" ht="14.25" customHeight="1" spans="1:17" x14ac:dyDescent="0.25">
      <c r="E568" s="62"/>
      <c r="J568" s="62"/>
      <c r="K568" s="63"/>
      <c r="O568" s="62"/>
      <c r="Q568" s="62"/>
    </row>
    <row r="569" ht="14.25" customHeight="1" spans="1:17" x14ac:dyDescent="0.25">
      <c r="E569" s="62"/>
      <c r="J569" s="62"/>
      <c r="K569" s="63"/>
      <c r="O569" s="62"/>
      <c r="Q569" s="62"/>
    </row>
    <row r="570" ht="14.25" customHeight="1" spans="1:17" x14ac:dyDescent="0.25">
      <c r="E570" s="62"/>
      <c r="J570" s="62"/>
      <c r="K570" s="63"/>
      <c r="O570" s="62"/>
      <c r="Q570" s="62"/>
    </row>
    <row r="571" ht="14.25" customHeight="1" spans="1:17" x14ac:dyDescent="0.25">
      <c r="E571" s="62"/>
      <c r="J571" s="62"/>
      <c r="K571" s="63"/>
      <c r="O571" s="62"/>
      <c r="Q571" s="62"/>
    </row>
    <row r="572" ht="14.25" customHeight="1" spans="1:17" x14ac:dyDescent="0.25">
      <c r="E572" s="62"/>
      <c r="J572" s="62"/>
      <c r="K572" s="63"/>
      <c r="O572" s="62"/>
      <c r="Q572" s="62"/>
    </row>
    <row r="573" ht="14.25" customHeight="1" spans="1:17" x14ac:dyDescent="0.25">
      <c r="E573" s="62"/>
      <c r="J573" s="62"/>
      <c r="K573" s="63"/>
      <c r="O573" s="62"/>
      <c r="Q573" s="62"/>
    </row>
    <row r="574" ht="14.25" customHeight="1" spans="1:17" x14ac:dyDescent="0.25">
      <c r="E574" s="62"/>
      <c r="J574" s="62"/>
      <c r="K574" s="63"/>
      <c r="O574" s="62"/>
      <c r="Q574" s="62"/>
    </row>
    <row r="575" ht="14.25" customHeight="1" spans="1:17" x14ac:dyDescent="0.25">
      <c r="E575" s="62"/>
      <c r="J575" s="62"/>
      <c r="K575" s="63"/>
      <c r="O575" s="62"/>
      <c r="Q575" s="62"/>
    </row>
    <row r="576" ht="14.25" customHeight="1" spans="1:17" x14ac:dyDescent="0.25">
      <c r="E576" s="62"/>
      <c r="J576" s="62"/>
      <c r="K576" s="63"/>
      <c r="O576" s="62"/>
      <c r="Q576" s="62"/>
    </row>
    <row r="577" ht="14.25" customHeight="1" spans="1:17" x14ac:dyDescent="0.25">
      <c r="E577" s="62"/>
      <c r="J577" s="62"/>
      <c r="K577" s="63"/>
      <c r="O577" s="62"/>
      <c r="Q577" s="62"/>
    </row>
    <row r="578" ht="14.25" customHeight="1" spans="1:17" x14ac:dyDescent="0.25">
      <c r="E578" s="62"/>
      <c r="J578" s="62"/>
      <c r="K578" s="63"/>
      <c r="O578" s="62"/>
      <c r="Q578" s="62"/>
    </row>
    <row r="579" ht="14.25" customHeight="1" spans="1:17" x14ac:dyDescent="0.25">
      <c r="E579" s="62"/>
      <c r="J579" s="62"/>
      <c r="K579" s="63"/>
      <c r="O579" s="62"/>
      <c r="Q579" s="62"/>
    </row>
    <row r="580" ht="14.25" customHeight="1" spans="1:17" x14ac:dyDescent="0.25">
      <c r="E580" s="62"/>
      <c r="J580" s="62"/>
      <c r="K580" s="63"/>
      <c r="O580" s="62"/>
      <c r="Q580" s="62"/>
    </row>
    <row r="581" ht="14.25" customHeight="1" spans="1:17" x14ac:dyDescent="0.25">
      <c r="E581" s="62"/>
      <c r="J581" s="62"/>
      <c r="K581" s="63"/>
      <c r="O581" s="62"/>
      <c r="Q581" s="62"/>
    </row>
    <row r="582" ht="14.25" customHeight="1" spans="1:17" x14ac:dyDescent="0.25">
      <c r="E582" s="62"/>
      <c r="J582" s="62"/>
      <c r="K582" s="63"/>
      <c r="O582" s="62"/>
      <c r="Q582" s="62"/>
    </row>
    <row r="583" ht="14.25" customHeight="1" spans="1:17" x14ac:dyDescent="0.25">
      <c r="E583" s="62"/>
      <c r="J583" s="62"/>
      <c r="K583" s="63"/>
      <c r="O583" s="62"/>
      <c r="Q583" s="62"/>
    </row>
    <row r="584" ht="14.25" customHeight="1" spans="1:17" x14ac:dyDescent="0.25">
      <c r="E584" s="62"/>
      <c r="J584" s="62"/>
      <c r="K584" s="63"/>
      <c r="O584" s="62"/>
      <c r="Q584" s="62"/>
    </row>
    <row r="585" ht="14.25" customHeight="1" spans="1:17" x14ac:dyDescent="0.25">
      <c r="E585" s="62"/>
      <c r="J585" s="62"/>
      <c r="K585" s="63"/>
      <c r="O585" s="62"/>
      <c r="Q585" s="62"/>
    </row>
    <row r="586" ht="14.25" customHeight="1" spans="1:17" x14ac:dyDescent="0.25">
      <c r="E586" s="62"/>
      <c r="J586" s="62"/>
      <c r="K586" s="63"/>
      <c r="O586" s="62"/>
      <c r="Q586" s="62"/>
    </row>
    <row r="587" ht="14.25" customHeight="1" spans="1:17" x14ac:dyDescent="0.25">
      <c r="E587" s="62"/>
      <c r="J587" s="62"/>
      <c r="K587" s="63"/>
      <c r="O587" s="62"/>
      <c r="Q587" s="62"/>
    </row>
    <row r="588" ht="14.25" customHeight="1" spans="1:17" x14ac:dyDescent="0.25">
      <c r="E588" s="62"/>
      <c r="J588" s="62"/>
      <c r="K588" s="63"/>
      <c r="O588" s="62"/>
      <c r="Q588" s="62"/>
    </row>
    <row r="589" ht="14.25" customHeight="1" spans="1:17" x14ac:dyDescent="0.25">
      <c r="E589" s="62"/>
      <c r="J589" s="62"/>
      <c r="K589" s="63"/>
      <c r="O589" s="62"/>
      <c r="Q589" s="62"/>
    </row>
    <row r="590" ht="14.25" customHeight="1" spans="1:17" x14ac:dyDescent="0.25">
      <c r="E590" s="62"/>
      <c r="J590" s="62"/>
      <c r="K590" s="63"/>
      <c r="O590" s="62"/>
      <c r="Q590" s="62"/>
    </row>
    <row r="591" ht="14.25" customHeight="1" spans="1:17" x14ac:dyDescent="0.25">
      <c r="E591" s="62"/>
      <c r="J591" s="62"/>
      <c r="K591" s="63"/>
      <c r="O591" s="62"/>
      <c r="Q591" s="62"/>
    </row>
    <row r="592" ht="14.25" customHeight="1" spans="1:17" x14ac:dyDescent="0.25">
      <c r="E592" s="62"/>
      <c r="J592" s="62"/>
      <c r="K592" s="63"/>
      <c r="O592" s="62"/>
      <c r="Q592" s="62"/>
    </row>
    <row r="593" ht="14.25" customHeight="1" spans="1:17" x14ac:dyDescent="0.25">
      <c r="E593" s="62"/>
      <c r="J593" s="62"/>
      <c r="K593" s="63"/>
      <c r="O593" s="62"/>
      <c r="Q593" s="62"/>
    </row>
    <row r="594" ht="14.25" customHeight="1" spans="1:17" x14ac:dyDescent="0.25">
      <c r="E594" s="62"/>
      <c r="J594" s="62"/>
      <c r="K594" s="63"/>
      <c r="O594" s="62"/>
      <c r="Q594" s="62"/>
    </row>
    <row r="595" ht="14.25" customHeight="1" spans="1:17" x14ac:dyDescent="0.25">
      <c r="E595" s="62"/>
      <c r="J595" s="62"/>
      <c r="K595" s="63"/>
      <c r="O595" s="62"/>
      <c r="Q595" s="62"/>
    </row>
    <row r="596" ht="14.25" customHeight="1" spans="1:17" x14ac:dyDescent="0.25">
      <c r="E596" s="62"/>
      <c r="J596" s="62"/>
      <c r="K596" s="63"/>
      <c r="O596" s="62"/>
      <c r="Q596" s="62"/>
    </row>
    <row r="597" ht="14.25" customHeight="1" spans="1:17" x14ac:dyDescent="0.25">
      <c r="E597" s="62"/>
      <c r="J597" s="62"/>
      <c r="K597" s="63"/>
      <c r="O597" s="62"/>
      <c r="Q597" s="62"/>
    </row>
    <row r="598" ht="14.25" customHeight="1" spans="1:17" x14ac:dyDescent="0.25">
      <c r="E598" s="62"/>
      <c r="J598" s="62"/>
      <c r="K598" s="63"/>
      <c r="O598" s="62"/>
      <c r="Q598" s="62"/>
    </row>
    <row r="599" ht="14.25" customHeight="1" spans="1:17" x14ac:dyDescent="0.25">
      <c r="E599" s="62"/>
      <c r="J599" s="62"/>
      <c r="K599" s="63"/>
      <c r="O599" s="62"/>
      <c r="Q599" s="62"/>
    </row>
    <row r="600" ht="14.25" customHeight="1" spans="1:17" x14ac:dyDescent="0.25">
      <c r="E600" s="62"/>
      <c r="J600" s="62"/>
      <c r="K600" s="63"/>
      <c r="O600" s="62"/>
      <c r="Q600" s="62"/>
    </row>
    <row r="601" ht="14.25" customHeight="1" spans="1:17" x14ac:dyDescent="0.25">
      <c r="E601" s="62"/>
      <c r="J601" s="62"/>
      <c r="K601" s="63"/>
      <c r="O601" s="62"/>
      <c r="Q601" s="62"/>
    </row>
    <row r="602" ht="14.25" customHeight="1" spans="1:17" x14ac:dyDescent="0.25">
      <c r="E602" s="62"/>
      <c r="J602" s="62"/>
      <c r="K602" s="63"/>
      <c r="O602" s="62"/>
      <c r="Q602" s="62"/>
    </row>
    <row r="603" ht="14.25" customHeight="1" spans="1:17" x14ac:dyDescent="0.25">
      <c r="E603" s="62"/>
      <c r="J603" s="62"/>
      <c r="K603" s="63"/>
      <c r="O603" s="62"/>
      <c r="Q603" s="62"/>
    </row>
    <row r="604" ht="14.25" customHeight="1" spans="1:17" x14ac:dyDescent="0.25">
      <c r="E604" s="62"/>
      <c r="J604" s="62"/>
      <c r="K604" s="63"/>
      <c r="O604" s="62"/>
      <c r="Q604" s="62"/>
    </row>
    <row r="605" ht="14.25" customHeight="1" spans="1:17" x14ac:dyDescent="0.25">
      <c r="E605" s="62"/>
      <c r="J605" s="62"/>
      <c r="K605" s="63"/>
      <c r="O605" s="62"/>
      <c r="Q605" s="62"/>
    </row>
    <row r="606" ht="14.25" customHeight="1" spans="1:17" x14ac:dyDescent="0.25">
      <c r="E606" s="62"/>
      <c r="J606" s="62"/>
      <c r="K606" s="63"/>
      <c r="O606" s="62"/>
      <c r="Q606" s="62"/>
    </row>
    <row r="607" ht="14.25" customHeight="1" spans="1:17" x14ac:dyDescent="0.25">
      <c r="E607" s="62"/>
      <c r="J607" s="62"/>
      <c r="K607" s="63"/>
      <c r="O607" s="62"/>
      <c r="Q607" s="62"/>
    </row>
    <row r="608" ht="14.25" customHeight="1" spans="1:17" x14ac:dyDescent="0.25">
      <c r="E608" s="62"/>
      <c r="J608" s="62"/>
      <c r="K608" s="63"/>
      <c r="O608" s="62"/>
      <c r="Q608" s="62"/>
    </row>
    <row r="609" ht="14.25" customHeight="1" spans="1:17" x14ac:dyDescent="0.25">
      <c r="E609" s="62"/>
      <c r="J609" s="62"/>
      <c r="K609" s="63"/>
      <c r="O609" s="62"/>
      <c r="Q609" s="62"/>
    </row>
    <row r="610" ht="14.25" customHeight="1" spans="1:17" x14ac:dyDescent="0.25">
      <c r="E610" s="62"/>
      <c r="J610" s="62"/>
      <c r="K610" s="63"/>
      <c r="O610" s="62"/>
      <c r="Q610" s="62"/>
    </row>
    <row r="611" ht="14.25" customHeight="1" spans="1:17" x14ac:dyDescent="0.25">
      <c r="E611" s="62"/>
      <c r="J611" s="62"/>
      <c r="K611" s="63"/>
      <c r="O611" s="62"/>
      <c r="Q611" s="62"/>
    </row>
    <row r="612" ht="14.25" customHeight="1" spans="1:17" x14ac:dyDescent="0.25">
      <c r="E612" s="62"/>
      <c r="J612" s="62"/>
      <c r="K612" s="63"/>
      <c r="O612" s="62"/>
      <c r="Q612" s="62"/>
    </row>
    <row r="613" ht="14.25" customHeight="1" spans="1:17" x14ac:dyDescent="0.25">
      <c r="E613" s="62"/>
      <c r="J613" s="62"/>
      <c r="K613" s="63"/>
      <c r="O613" s="62"/>
      <c r="Q613" s="62"/>
    </row>
    <row r="614" ht="14.25" customHeight="1" spans="1:17" x14ac:dyDescent="0.25">
      <c r="E614" s="62"/>
      <c r="J614" s="62"/>
      <c r="K614" s="63"/>
      <c r="O614" s="62"/>
      <c r="Q614" s="62"/>
    </row>
    <row r="615" ht="14.25" customHeight="1" spans="1:17" x14ac:dyDescent="0.25">
      <c r="E615" s="62"/>
      <c r="J615" s="62"/>
      <c r="K615" s="63"/>
      <c r="O615" s="62"/>
      <c r="Q615" s="62"/>
    </row>
    <row r="616" ht="14.25" customHeight="1" spans="1:17" x14ac:dyDescent="0.25">
      <c r="E616" s="62"/>
      <c r="J616" s="62"/>
      <c r="K616" s="63"/>
      <c r="O616" s="62"/>
      <c r="Q616" s="62"/>
    </row>
    <row r="617" ht="14.25" customHeight="1" spans="1:17" x14ac:dyDescent="0.25">
      <c r="E617" s="62"/>
      <c r="J617" s="62"/>
      <c r="K617" s="63"/>
      <c r="O617" s="62"/>
      <c r="Q617" s="62"/>
    </row>
    <row r="618" ht="14.25" customHeight="1" spans="1:17" x14ac:dyDescent="0.25">
      <c r="E618" s="62"/>
      <c r="J618" s="62"/>
      <c r="K618" s="63"/>
      <c r="O618" s="62"/>
      <c r="Q618" s="62"/>
    </row>
    <row r="619" ht="14.25" customHeight="1" spans="1:17" x14ac:dyDescent="0.25">
      <c r="E619" s="62"/>
      <c r="J619" s="62"/>
      <c r="K619" s="63"/>
      <c r="O619" s="62"/>
      <c r="Q619" s="62"/>
    </row>
    <row r="620" ht="14.25" customHeight="1" spans="1:17" x14ac:dyDescent="0.25">
      <c r="E620" s="62"/>
      <c r="J620" s="62"/>
      <c r="K620" s="63"/>
      <c r="O620" s="62"/>
      <c r="Q620" s="62"/>
    </row>
    <row r="621" ht="14.25" customHeight="1" spans="1:17" x14ac:dyDescent="0.25">
      <c r="E621" s="62"/>
      <c r="J621" s="62"/>
      <c r="K621" s="63"/>
      <c r="O621" s="62"/>
      <c r="Q621" s="62"/>
    </row>
    <row r="622" ht="14.25" customHeight="1" spans="1:17" x14ac:dyDescent="0.25">
      <c r="E622" s="62"/>
      <c r="J622" s="62"/>
      <c r="K622" s="63"/>
      <c r="O622" s="62"/>
      <c r="Q622" s="62"/>
    </row>
    <row r="623" ht="14.25" customHeight="1" spans="1:17" x14ac:dyDescent="0.25">
      <c r="E623" s="62"/>
      <c r="J623" s="62"/>
      <c r="K623" s="63"/>
      <c r="O623" s="62"/>
      <c r="Q623" s="62"/>
    </row>
    <row r="624" ht="14.25" customHeight="1" spans="1:17" x14ac:dyDescent="0.25">
      <c r="E624" s="62"/>
      <c r="J624" s="62"/>
      <c r="K624" s="63"/>
      <c r="O624" s="62"/>
      <c r="Q624" s="62"/>
    </row>
    <row r="625" ht="14.25" customHeight="1" spans="1:17" x14ac:dyDescent="0.25">
      <c r="E625" s="62"/>
      <c r="J625" s="62"/>
      <c r="K625" s="63"/>
      <c r="O625" s="62"/>
      <c r="Q625" s="62"/>
    </row>
    <row r="626" ht="14.25" customHeight="1" spans="1:17" x14ac:dyDescent="0.25">
      <c r="E626" s="62"/>
      <c r="J626" s="62"/>
      <c r="K626" s="63"/>
      <c r="O626" s="62"/>
      <c r="Q626" s="62"/>
    </row>
    <row r="627" ht="14.25" customHeight="1" spans="1:17" x14ac:dyDescent="0.25">
      <c r="E627" s="62"/>
      <c r="J627" s="62"/>
      <c r="K627" s="63"/>
      <c r="O627" s="62"/>
      <c r="Q627" s="62"/>
    </row>
    <row r="628" ht="14.25" customHeight="1" spans="1:17" x14ac:dyDescent="0.25">
      <c r="E628" s="62"/>
      <c r="J628" s="62"/>
      <c r="K628" s="63"/>
      <c r="O628" s="62"/>
      <c r="Q628" s="62"/>
    </row>
    <row r="629" ht="14.25" customHeight="1" spans="1:17" x14ac:dyDescent="0.25">
      <c r="E629" s="62"/>
      <c r="J629" s="62"/>
      <c r="K629" s="63"/>
      <c r="O629" s="62"/>
      <c r="Q629" s="62"/>
    </row>
    <row r="630" ht="14.25" customHeight="1" spans="1:17" x14ac:dyDescent="0.25">
      <c r="E630" s="62"/>
      <c r="J630" s="62"/>
      <c r="K630" s="63"/>
      <c r="O630" s="62"/>
      <c r="Q630" s="62"/>
    </row>
    <row r="631" ht="14.25" customHeight="1" spans="1:17" x14ac:dyDescent="0.25">
      <c r="E631" s="62"/>
      <c r="J631" s="62"/>
      <c r="K631" s="63"/>
      <c r="O631" s="62"/>
      <c r="Q631" s="62"/>
    </row>
    <row r="632" ht="14.25" customHeight="1" spans="1:17" x14ac:dyDescent="0.25">
      <c r="E632" s="62"/>
      <c r="J632" s="62"/>
      <c r="K632" s="63"/>
      <c r="O632" s="62"/>
      <c r="Q632" s="62"/>
    </row>
    <row r="633" ht="14.25" customHeight="1" spans="1:17" x14ac:dyDescent="0.25">
      <c r="E633" s="62"/>
      <c r="J633" s="62"/>
      <c r="K633" s="63"/>
      <c r="O633" s="62"/>
      <c r="Q633" s="62"/>
    </row>
    <row r="634" ht="14.25" customHeight="1" spans="1:17" x14ac:dyDescent="0.25">
      <c r="E634" s="62"/>
      <c r="J634" s="62"/>
      <c r="K634" s="63"/>
      <c r="O634" s="62"/>
      <c r="Q634" s="62"/>
    </row>
    <row r="635" ht="14.25" customHeight="1" spans="1:17" x14ac:dyDescent="0.25">
      <c r="E635" s="62"/>
      <c r="J635" s="62"/>
      <c r="K635" s="63"/>
      <c r="O635" s="62"/>
      <c r="Q635" s="62"/>
    </row>
    <row r="636" ht="14.25" customHeight="1" spans="1:17" x14ac:dyDescent="0.25">
      <c r="E636" s="62"/>
      <c r="J636" s="62"/>
      <c r="K636" s="63"/>
      <c r="O636" s="62"/>
      <c r="Q636" s="62"/>
    </row>
    <row r="637" ht="14.25" customHeight="1" spans="1:17" x14ac:dyDescent="0.25">
      <c r="E637" s="62"/>
      <c r="J637" s="62"/>
      <c r="K637" s="63"/>
      <c r="O637" s="62"/>
      <c r="Q637" s="62"/>
    </row>
    <row r="638" ht="14.25" customHeight="1" spans="1:17" x14ac:dyDescent="0.25">
      <c r="E638" s="62"/>
      <c r="J638" s="62"/>
      <c r="K638" s="63"/>
      <c r="O638" s="62"/>
      <c r="Q638" s="62"/>
    </row>
    <row r="639" ht="14.25" customHeight="1" spans="1:17" x14ac:dyDescent="0.25">
      <c r="E639" s="62"/>
      <c r="J639" s="62"/>
      <c r="K639" s="63"/>
      <c r="O639" s="62"/>
      <c r="Q639" s="62"/>
    </row>
    <row r="640" ht="14.25" customHeight="1" spans="1:17" x14ac:dyDescent="0.25">
      <c r="E640" s="62"/>
      <c r="J640" s="62"/>
      <c r="K640" s="63"/>
      <c r="O640" s="62"/>
      <c r="Q640" s="62"/>
    </row>
    <row r="641" ht="14.25" customHeight="1" spans="1:17" x14ac:dyDescent="0.25">
      <c r="E641" s="62"/>
      <c r="J641" s="62"/>
      <c r="K641" s="63"/>
      <c r="O641" s="62"/>
      <c r="Q641" s="62"/>
    </row>
    <row r="642" ht="14.25" customHeight="1" spans="1:17" x14ac:dyDescent="0.25">
      <c r="E642" s="62"/>
      <c r="J642" s="62"/>
      <c r="K642" s="63"/>
      <c r="O642" s="62"/>
      <c r="Q642" s="62"/>
    </row>
    <row r="643" ht="14.25" customHeight="1" spans="1:17" x14ac:dyDescent="0.25">
      <c r="E643" s="62"/>
      <c r="J643" s="62"/>
      <c r="K643" s="63"/>
      <c r="O643" s="62"/>
      <c r="Q643" s="62"/>
    </row>
    <row r="644" ht="14.25" customHeight="1" spans="1:17" x14ac:dyDescent="0.25">
      <c r="E644" s="62"/>
      <c r="J644" s="62"/>
      <c r="K644" s="63"/>
      <c r="O644" s="62"/>
      <c r="Q644" s="62"/>
    </row>
    <row r="645" ht="14.25" customHeight="1" spans="1:17" x14ac:dyDescent="0.25">
      <c r="E645" s="62"/>
      <c r="J645" s="62"/>
      <c r="K645" s="63"/>
      <c r="O645" s="62"/>
      <c r="Q645" s="62"/>
    </row>
    <row r="646" ht="14.25" customHeight="1" spans="1:17" x14ac:dyDescent="0.25">
      <c r="E646" s="62"/>
      <c r="J646" s="62"/>
      <c r="K646" s="63"/>
      <c r="O646" s="62"/>
      <c r="Q646" s="62"/>
    </row>
    <row r="647" ht="14.25" customHeight="1" spans="1:17" x14ac:dyDescent="0.25">
      <c r="E647" s="62"/>
      <c r="J647" s="62"/>
      <c r="K647" s="63"/>
      <c r="O647" s="62"/>
      <c r="Q647" s="62"/>
    </row>
    <row r="648" ht="14.25" customHeight="1" spans="1:17" x14ac:dyDescent="0.25">
      <c r="E648" s="62"/>
      <c r="J648" s="62"/>
      <c r="K648" s="63"/>
      <c r="O648" s="62"/>
      <c r="Q648" s="62"/>
    </row>
    <row r="649" ht="14.25" customHeight="1" spans="1:17" x14ac:dyDescent="0.25">
      <c r="E649" s="62"/>
      <c r="J649" s="62"/>
      <c r="K649" s="63"/>
      <c r="O649" s="62"/>
      <c r="Q649" s="62"/>
    </row>
    <row r="650" ht="14.25" customHeight="1" spans="1:17" x14ac:dyDescent="0.25">
      <c r="E650" s="62"/>
      <c r="J650" s="62"/>
      <c r="K650" s="63"/>
      <c r="O650" s="62"/>
      <c r="Q650" s="62"/>
    </row>
    <row r="651" ht="14.25" customHeight="1" spans="1:17" x14ac:dyDescent="0.25">
      <c r="E651" s="62"/>
      <c r="J651" s="62"/>
      <c r="K651" s="63"/>
      <c r="O651" s="62"/>
      <c r="Q651" s="62"/>
    </row>
    <row r="652" ht="14.25" customHeight="1" spans="1:17" x14ac:dyDescent="0.25">
      <c r="E652" s="62"/>
      <c r="J652" s="62"/>
      <c r="K652" s="63"/>
      <c r="O652" s="62"/>
      <c r="Q652" s="62"/>
    </row>
    <row r="653" ht="14.25" customHeight="1" spans="1:17" x14ac:dyDescent="0.25">
      <c r="E653" s="62"/>
      <c r="J653" s="62"/>
      <c r="K653" s="63"/>
      <c r="O653" s="62"/>
      <c r="Q653" s="62"/>
    </row>
    <row r="654" ht="14.25" customHeight="1" spans="1:17" x14ac:dyDescent="0.25">
      <c r="E654" s="62"/>
      <c r="J654" s="62"/>
      <c r="K654" s="63"/>
      <c r="O654" s="62"/>
      <c r="Q654" s="62"/>
    </row>
    <row r="655" ht="14.25" customHeight="1" spans="1:17" x14ac:dyDescent="0.25">
      <c r="E655" s="62"/>
      <c r="J655" s="62"/>
      <c r="K655" s="63"/>
      <c r="O655" s="62"/>
      <c r="Q655" s="62"/>
    </row>
    <row r="656" ht="14.25" customHeight="1" spans="1:17" x14ac:dyDescent="0.25">
      <c r="E656" s="62"/>
      <c r="J656" s="62"/>
      <c r="K656" s="63"/>
      <c r="O656" s="62"/>
      <c r="Q656" s="62"/>
    </row>
    <row r="657" ht="14.25" customHeight="1" spans="1:17" x14ac:dyDescent="0.25">
      <c r="E657" s="62"/>
      <c r="J657" s="62"/>
      <c r="K657" s="63"/>
      <c r="O657" s="62"/>
      <c r="Q657" s="62"/>
    </row>
    <row r="658" ht="14.25" customHeight="1" spans="1:17" x14ac:dyDescent="0.25">
      <c r="E658" s="62"/>
      <c r="J658" s="62"/>
      <c r="K658" s="63"/>
      <c r="O658" s="62"/>
      <c r="Q658" s="62"/>
    </row>
    <row r="659" ht="14.25" customHeight="1" spans="1:17" x14ac:dyDescent="0.25">
      <c r="E659" s="62"/>
      <c r="J659" s="62"/>
      <c r="K659" s="63"/>
      <c r="O659" s="62"/>
      <c r="Q659" s="62"/>
    </row>
    <row r="660" ht="14.25" customHeight="1" spans="1:17" x14ac:dyDescent="0.25">
      <c r="E660" s="62"/>
      <c r="J660" s="62"/>
      <c r="K660" s="63"/>
      <c r="O660" s="62"/>
      <c r="Q660" s="62"/>
    </row>
    <row r="661" ht="14.25" customHeight="1" spans="1:17" x14ac:dyDescent="0.25">
      <c r="E661" s="62"/>
      <c r="J661" s="62"/>
      <c r="K661" s="63"/>
      <c r="O661" s="62"/>
      <c r="Q661" s="62"/>
    </row>
    <row r="662" ht="14.25" customHeight="1" spans="1:17" x14ac:dyDescent="0.25">
      <c r="E662" s="62"/>
      <c r="J662" s="62"/>
      <c r="K662" s="63"/>
      <c r="O662" s="62"/>
      <c r="Q662" s="62"/>
    </row>
    <row r="663" ht="14.25" customHeight="1" spans="1:17" x14ac:dyDescent="0.25">
      <c r="E663" s="62"/>
      <c r="J663" s="62"/>
      <c r="K663" s="63"/>
      <c r="O663" s="62"/>
      <c r="Q663" s="62"/>
    </row>
    <row r="664" ht="14.25" customHeight="1" spans="1:17" x14ac:dyDescent="0.25">
      <c r="E664" s="62"/>
      <c r="J664" s="62"/>
      <c r="K664" s="63"/>
      <c r="O664" s="62"/>
      <c r="Q664" s="62"/>
    </row>
    <row r="665" ht="14.25" customHeight="1" spans="1:17" x14ac:dyDescent="0.25">
      <c r="E665" s="62"/>
      <c r="J665" s="62"/>
      <c r="K665" s="63"/>
      <c r="O665" s="62"/>
      <c r="Q665" s="62"/>
    </row>
    <row r="666" ht="14.25" customHeight="1" spans="1:17" x14ac:dyDescent="0.25">
      <c r="E666" s="62"/>
      <c r="J666" s="62"/>
      <c r="K666" s="63"/>
      <c r="O666" s="62"/>
      <c r="Q666" s="62"/>
    </row>
    <row r="667" ht="14.25" customHeight="1" spans="1:17" x14ac:dyDescent="0.25">
      <c r="E667" s="62"/>
      <c r="J667" s="62"/>
      <c r="K667" s="63"/>
      <c r="O667" s="62"/>
      <c r="Q667" s="62"/>
    </row>
    <row r="668" ht="14.25" customHeight="1" spans="1:17" x14ac:dyDescent="0.25">
      <c r="E668" s="62"/>
      <c r="J668" s="62"/>
      <c r="K668" s="63"/>
      <c r="O668" s="62"/>
      <c r="Q668" s="62"/>
    </row>
    <row r="669" ht="14.25" customHeight="1" spans="1:17" x14ac:dyDescent="0.25">
      <c r="E669" s="62"/>
      <c r="J669" s="62"/>
      <c r="K669" s="63"/>
      <c r="O669" s="62"/>
      <c r="Q669" s="62"/>
    </row>
    <row r="670" ht="14.25" customHeight="1" spans="1:17" x14ac:dyDescent="0.25">
      <c r="E670" s="62"/>
      <c r="J670" s="62"/>
      <c r="K670" s="63"/>
      <c r="O670" s="62"/>
      <c r="Q670" s="62"/>
    </row>
    <row r="671" ht="14.25" customHeight="1" spans="1:17" x14ac:dyDescent="0.25">
      <c r="E671" s="62"/>
      <c r="J671" s="62"/>
      <c r="K671" s="63"/>
      <c r="O671" s="62"/>
      <c r="Q671" s="62"/>
    </row>
    <row r="672" ht="14.25" customHeight="1" spans="1:17" x14ac:dyDescent="0.25">
      <c r="E672" s="62"/>
      <c r="J672" s="62"/>
      <c r="K672" s="63"/>
      <c r="O672" s="62"/>
      <c r="Q672" s="62"/>
    </row>
    <row r="673" ht="14.25" customHeight="1" spans="1:17" x14ac:dyDescent="0.25">
      <c r="E673" s="62"/>
      <c r="J673" s="62"/>
      <c r="K673" s="63"/>
      <c r="O673" s="62"/>
      <c r="Q673" s="62"/>
    </row>
    <row r="674" ht="14.25" customHeight="1" spans="1:17" x14ac:dyDescent="0.25">
      <c r="E674" s="62"/>
      <c r="J674" s="62"/>
      <c r="K674" s="63"/>
      <c r="O674" s="62"/>
      <c r="Q674" s="62"/>
    </row>
    <row r="675" ht="14.25" customHeight="1" spans="1:17" x14ac:dyDescent="0.25">
      <c r="E675" s="62"/>
      <c r="J675" s="62"/>
      <c r="K675" s="63"/>
      <c r="O675" s="62"/>
      <c r="Q675" s="62"/>
    </row>
    <row r="676" ht="14.25" customHeight="1" spans="1:17" x14ac:dyDescent="0.25">
      <c r="E676" s="62"/>
      <c r="J676" s="62"/>
      <c r="K676" s="63"/>
      <c r="O676" s="62"/>
      <c r="Q676" s="62"/>
    </row>
    <row r="677" ht="14.25" customHeight="1" spans="1:17" x14ac:dyDescent="0.25">
      <c r="E677" s="62"/>
      <c r="J677" s="62"/>
      <c r="K677" s="63"/>
      <c r="O677" s="62"/>
      <c r="Q677" s="62"/>
    </row>
    <row r="678" ht="14.25" customHeight="1" spans="1:17" x14ac:dyDescent="0.25">
      <c r="E678" s="62"/>
      <c r="J678" s="62"/>
      <c r="K678" s="63"/>
      <c r="O678" s="62"/>
      <c r="Q678" s="62"/>
    </row>
    <row r="679" ht="14.25" customHeight="1" spans="1:17" x14ac:dyDescent="0.25">
      <c r="E679" s="62"/>
      <c r="J679" s="62"/>
      <c r="K679" s="63"/>
      <c r="O679" s="62"/>
      <c r="Q679" s="62"/>
    </row>
    <row r="680" ht="14.25" customHeight="1" spans="1:17" x14ac:dyDescent="0.25">
      <c r="E680" s="62"/>
      <c r="J680" s="62"/>
      <c r="K680" s="63"/>
      <c r="O680" s="62"/>
      <c r="Q680" s="62"/>
    </row>
    <row r="681" ht="14.25" customHeight="1" spans="1:17" x14ac:dyDescent="0.25">
      <c r="E681" s="62"/>
      <c r="J681" s="62"/>
      <c r="K681" s="63"/>
      <c r="O681" s="62"/>
      <c r="Q681" s="62"/>
    </row>
    <row r="682" ht="14.25" customHeight="1" spans="1:17" x14ac:dyDescent="0.25">
      <c r="E682" s="62"/>
      <c r="J682" s="62"/>
      <c r="K682" s="63"/>
      <c r="O682" s="62"/>
      <c r="Q682" s="62"/>
    </row>
    <row r="683" ht="14.25" customHeight="1" spans="1:17" x14ac:dyDescent="0.25">
      <c r="E683" s="62"/>
      <c r="J683" s="62"/>
      <c r="K683" s="63"/>
      <c r="O683" s="62"/>
      <c r="Q683" s="62"/>
    </row>
    <row r="684" ht="14.25" customHeight="1" spans="1:17" x14ac:dyDescent="0.25">
      <c r="E684" s="62"/>
      <c r="J684" s="62"/>
      <c r="K684" s="63"/>
      <c r="O684" s="62"/>
      <c r="Q684" s="62"/>
    </row>
    <row r="685" ht="14.25" customHeight="1" spans="1:17" x14ac:dyDescent="0.25">
      <c r="E685" s="62"/>
      <c r="J685" s="62"/>
      <c r="K685" s="63"/>
      <c r="O685" s="62"/>
      <c r="Q685" s="62"/>
    </row>
    <row r="686" ht="14.25" customHeight="1" spans="1:17" x14ac:dyDescent="0.25">
      <c r="E686" s="62"/>
      <c r="J686" s="62"/>
      <c r="K686" s="63"/>
      <c r="O686" s="62"/>
      <c r="Q686" s="62"/>
    </row>
    <row r="687" ht="14.25" customHeight="1" spans="1:17" x14ac:dyDescent="0.25">
      <c r="E687" s="62"/>
      <c r="J687" s="62"/>
      <c r="K687" s="63"/>
      <c r="O687" s="62"/>
      <c r="Q687" s="62"/>
    </row>
    <row r="688" ht="14.25" customHeight="1" spans="1:17" x14ac:dyDescent="0.25">
      <c r="E688" s="62"/>
      <c r="J688" s="62"/>
      <c r="K688" s="63"/>
      <c r="O688" s="62"/>
      <c r="Q688" s="62"/>
    </row>
    <row r="689" ht="14.25" customHeight="1" spans="1:17" x14ac:dyDescent="0.25">
      <c r="E689" s="62"/>
      <c r="J689" s="62"/>
      <c r="K689" s="63"/>
      <c r="O689" s="62"/>
      <c r="Q689" s="62"/>
    </row>
    <row r="690" ht="14.25" customHeight="1" spans="1:17" x14ac:dyDescent="0.25">
      <c r="E690" s="62"/>
      <c r="J690" s="62"/>
      <c r="K690" s="63"/>
      <c r="O690" s="62"/>
      <c r="Q690" s="62"/>
    </row>
    <row r="691" ht="14.25" customHeight="1" spans="1:17" x14ac:dyDescent="0.25">
      <c r="E691" s="62"/>
      <c r="J691" s="62"/>
      <c r="K691" s="63"/>
      <c r="O691" s="62"/>
      <c r="Q691" s="62"/>
    </row>
    <row r="692" ht="14.25" customHeight="1" spans="1:17" x14ac:dyDescent="0.25">
      <c r="E692" s="62"/>
      <c r="J692" s="62"/>
      <c r="K692" s="63"/>
      <c r="O692" s="62"/>
      <c r="Q692" s="62"/>
    </row>
    <row r="693" ht="14.25" customHeight="1" spans="1:17" x14ac:dyDescent="0.25">
      <c r="E693" s="62"/>
      <c r="J693" s="62"/>
      <c r="K693" s="63"/>
      <c r="O693" s="62"/>
      <c r="Q693" s="62"/>
    </row>
    <row r="694" ht="14.25" customHeight="1" spans="1:17" x14ac:dyDescent="0.25">
      <c r="E694" s="62"/>
      <c r="J694" s="62"/>
      <c r="K694" s="63"/>
      <c r="O694" s="62"/>
      <c r="Q694" s="62"/>
    </row>
    <row r="695" ht="14.25" customHeight="1" spans="1:17" x14ac:dyDescent="0.25">
      <c r="E695" s="62"/>
      <c r="J695" s="62"/>
      <c r="K695" s="63"/>
      <c r="O695" s="62"/>
      <c r="Q695" s="62"/>
    </row>
    <row r="696" ht="14.25" customHeight="1" spans="1:17" x14ac:dyDescent="0.25">
      <c r="E696" s="62"/>
      <c r="J696" s="62"/>
      <c r="K696" s="63"/>
      <c r="O696" s="62"/>
      <c r="Q696" s="62"/>
    </row>
    <row r="697" ht="14.25" customHeight="1" spans="1:17" x14ac:dyDescent="0.25">
      <c r="E697" s="62"/>
      <c r="J697" s="62"/>
      <c r="K697" s="63"/>
      <c r="O697" s="62"/>
      <c r="Q697" s="62"/>
    </row>
    <row r="698" ht="14.25" customHeight="1" spans="1:17" x14ac:dyDescent="0.25">
      <c r="E698" s="62"/>
      <c r="J698" s="62"/>
      <c r="K698" s="63"/>
      <c r="O698" s="62"/>
      <c r="Q698" s="62"/>
    </row>
    <row r="699" ht="14.25" customHeight="1" spans="1:17" x14ac:dyDescent="0.25">
      <c r="E699" s="62"/>
      <c r="J699" s="62"/>
      <c r="K699" s="63"/>
      <c r="O699" s="62"/>
      <c r="Q699" s="62"/>
    </row>
    <row r="700" ht="14.25" customHeight="1" spans="1:17" x14ac:dyDescent="0.25">
      <c r="E700" s="62"/>
      <c r="J700" s="62"/>
      <c r="K700" s="63"/>
      <c r="O700" s="62"/>
      <c r="Q700" s="62"/>
    </row>
    <row r="701" ht="14.25" customHeight="1" spans="1:17" x14ac:dyDescent="0.25">
      <c r="E701" s="62"/>
      <c r="J701" s="62"/>
      <c r="K701" s="63"/>
      <c r="O701" s="62"/>
      <c r="Q701" s="62"/>
    </row>
    <row r="702" ht="14.25" customHeight="1" spans="1:17" x14ac:dyDescent="0.25">
      <c r="E702" s="62"/>
      <c r="J702" s="62"/>
      <c r="K702" s="63"/>
      <c r="O702" s="62"/>
      <c r="Q702" s="62"/>
    </row>
    <row r="703" ht="14.25" customHeight="1" spans="1:17" x14ac:dyDescent="0.25">
      <c r="E703" s="62"/>
      <c r="J703" s="62"/>
      <c r="K703" s="63"/>
      <c r="O703" s="62"/>
      <c r="Q703" s="62"/>
    </row>
    <row r="704" ht="14.25" customHeight="1" spans="1:17" x14ac:dyDescent="0.25">
      <c r="E704" s="62"/>
      <c r="J704" s="62"/>
      <c r="K704" s="63"/>
      <c r="O704" s="62"/>
      <c r="Q704" s="62"/>
    </row>
    <row r="705" ht="14.25" customHeight="1" spans="1:17" x14ac:dyDescent="0.25">
      <c r="E705" s="62"/>
      <c r="J705" s="62"/>
      <c r="K705" s="63"/>
      <c r="O705" s="62"/>
      <c r="Q705" s="62"/>
    </row>
    <row r="706" ht="14.25" customHeight="1" spans="1:17" x14ac:dyDescent="0.25">
      <c r="E706" s="62"/>
      <c r="J706" s="62"/>
      <c r="K706" s="63"/>
      <c r="O706" s="62"/>
      <c r="Q706" s="62"/>
    </row>
    <row r="707" ht="14.25" customHeight="1" spans="1:17" x14ac:dyDescent="0.25">
      <c r="E707" s="62"/>
      <c r="J707" s="62"/>
      <c r="K707" s="63"/>
      <c r="O707" s="62"/>
      <c r="Q707" s="62"/>
    </row>
    <row r="708" ht="14.25" customHeight="1" spans="1:17" x14ac:dyDescent="0.25">
      <c r="E708" s="62"/>
      <c r="J708" s="62"/>
      <c r="K708" s="63"/>
      <c r="O708" s="62"/>
      <c r="Q708" s="62"/>
    </row>
    <row r="709" ht="14.25" customHeight="1" spans="1:17" x14ac:dyDescent="0.25">
      <c r="E709" s="62"/>
      <c r="J709" s="62"/>
      <c r="K709" s="63"/>
      <c r="O709" s="62"/>
      <c r="Q709" s="62"/>
    </row>
    <row r="710" ht="14.25" customHeight="1" spans="1:17" x14ac:dyDescent="0.25">
      <c r="E710" s="62"/>
      <c r="J710" s="62"/>
      <c r="K710" s="63"/>
      <c r="O710" s="62"/>
      <c r="Q710" s="62"/>
    </row>
    <row r="711" ht="14.25" customHeight="1" spans="1:17" x14ac:dyDescent="0.25">
      <c r="E711" s="62"/>
      <c r="J711" s="62"/>
      <c r="K711" s="63"/>
      <c r="O711" s="62"/>
      <c r="Q711" s="62"/>
    </row>
    <row r="712" ht="14.25" customHeight="1" spans="1:17" x14ac:dyDescent="0.25">
      <c r="E712" s="62"/>
      <c r="J712" s="62"/>
      <c r="K712" s="63"/>
      <c r="O712" s="62"/>
      <c r="Q712" s="62"/>
    </row>
    <row r="713" ht="14.25" customHeight="1" spans="1:17" x14ac:dyDescent="0.25">
      <c r="E713" s="62"/>
      <c r="J713" s="62"/>
      <c r="K713" s="63"/>
      <c r="O713" s="62"/>
      <c r="Q713" s="62"/>
    </row>
    <row r="714" ht="14.25" customHeight="1" spans="1:17" x14ac:dyDescent="0.25">
      <c r="E714" s="62"/>
      <c r="J714" s="62"/>
      <c r="K714" s="63"/>
      <c r="O714" s="62"/>
      <c r="Q714" s="62"/>
    </row>
    <row r="715" ht="14.25" customHeight="1" spans="1:17" x14ac:dyDescent="0.25">
      <c r="E715" s="62"/>
      <c r="J715" s="62"/>
      <c r="K715" s="63"/>
      <c r="O715" s="62"/>
      <c r="Q715" s="62"/>
    </row>
    <row r="716" ht="14.25" customHeight="1" spans="1:17" x14ac:dyDescent="0.25">
      <c r="E716" s="62"/>
      <c r="J716" s="62"/>
      <c r="K716" s="63"/>
      <c r="O716" s="62"/>
      <c r="Q716" s="62"/>
    </row>
    <row r="717" ht="14.25" customHeight="1" spans="1:17" x14ac:dyDescent="0.25">
      <c r="E717" s="62"/>
      <c r="J717" s="62"/>
      <c r="K717" s="63"/>
      <c r="O717" s="62"/>
      <c r="Q717" s="62"/>
    </row>
    <row r="718" ht="14.25" customHeight="1" spans="1:17" x14ac:dyDescent="0.25">
      <c r="E718" s="62"/>
      <c r="J718" s="62"/>
      <c r="K718" s="63"/>
      <c r="O718" s="62"/>
      <c r="Q718" s="62"/>
    </row>
    <row r="719" ht="14.25" customHeight="1" spans="1:17" x14ac:dyDescent="0.25">
      <c r="E719" s="62"/>
      <c r="J719" s="62"/>
      <c r="K719" s="63"/>
      <c r="O719" s="62"/>
      <c r="Q719" s="62"/>
    </row>
    <row r="720" ht="14.25" customHeight="1" spans="1:17" x14ac:dyDescent="0.25">
      <c r="E720" s="62"/>
      <c r="J720" s="62"/>
      <c r="K720" s="63"/>
      <c r="O720" s="62"/>
      <c r="Q720" s="62"/>
    </row>
    <row r="721" ht="14.25" customHeight="1" spans="1:17" x14ac:dyDescent="0.25">
      <c r="E721" s="62"/>
      <c r="J721" s="62"/>
      <c r="K721" s="63"/>
      <c r="O721" s="62"/>
      <c r="Q721" s="62"/>
    </row>
    <row r="722" ht="14.25" customHeight="1" spans="1:17" x14ac:dyDescent="0.25">
      <c r="E722" s="62"/>
      <c r="J722" s="62"/>
      <c r="K722" s="63"/>
      <c r="O722" s="62"/>
      <c r="Q722" s="62"/>
    </row>
    <row r="723" ht="14.25" customHeight="1" spans="1:17" x14ac:dyDescent="0.25">
      <c r="E723" s="62"/>
      <c r="J723" s="62"/>
      <c r="K723" s="63"/>
      <c r="O723" s="62"/>
      <c r="Q723" s="62"/>
    </row>
    <row r="724" ht="14.25" customHeight="1" spans="1:17" x14ac:dyDescent="0.25">
      <c r="E724" s="62"/>
      <c r="J724" s="62"/>
      <c r="K724" s="63"/>
      <c r="O724" s="62"/>
      <c r="Q724" s="62"/>
    </row>
    <row r="725" ht="14.25" customHeight="1" spans="1:17" x14ac:dyDescent="0.25">
      <c r="E725" s="62"/>
      <c r="J725" s="62"/>
      <c r="K725" s="63"/>
      <c r="O725" s="62"/>
      <c r="Q725" s="62"/>
    </row>
    <row r="726" ht="14.25" customHeight="1" spans="1:17" x14ac:dyDescent="0.25">
      <c r="E726" s="62"/>
      <c r="J726" s="62"/>
      <c r="K726" s="63"/>
      <c r="O726" s="62"/>
      <c r="Q726" s="62"/>
    </row>
    <row r="727" ht="14.25" customHeight="1" spans="1:17" x14ac:dyDescent="0.25">
      <c r="E727" s="62"/>
      <c r="J727" s="62"/>
      <c r="K727" s="63"/>
      <c r="O727" s="62"/>
      <c r="Q727" s="62"/>
    </row>
    <row r="728" ht="14.25" customHeight="1" spans="1:17" x14ac:dyDescent="0.25">
      <c r="E728" s="62"/>
      <c r="J728" s="62"/>
      <c r="K728" s="63"/>
      <c r="O728" s="62"/>
      <c r="Q728" s="62"/>
    </row>
    <row r="729" ht="14.25" customHeight="1" spans="1:17" x14ac:dyDescent="0.25">
      <c r="E729" s="62"/>
      <c r="J729" s="62"/>
      <c r="K729" s="63"/>
      <c r="O729" s="62"/>
      <c r="Q729" s="62"/>
    </row>
    <row r="730" ht="14.25" customHeight="1" spans="1:17" x14ac:dyDescent="0.25">
      <c r="E730" s="62"/>
      <c r="J730" s="62"/>
      <c r="K730" s="63"/>
      <c r="O730" s="62"/>
      <c r="Q730" s="62"/>
    </row>
    <row r="731" ht="14.25" customHeight="1" spans="1:17" x14ac:dyDescent="0.25">
      <c r="E731" s="62"/>
      <c r="J731" s="62"/>
      <c r="K731" s="63"/>
      <c r="O731" s="62"/>
      <c r="Q731" s="62"/>
    </row>
    <row r="732" ht="14.25" customHeight="1" spans="1:17" x14ac:dyDescent="0.25">
      <c r="E732" s="62"/>
      <c r="J732" s="62"/>
      <c r="K732" s="63"/>
      <c r="O732" s="62"/>
      <c r="Q732" s="62"/>
    </row>
    <row r="733" ht="14.25" customHeight="1" spans="1:17" x14ac:dyDescent="0.25">
      <c r="E733" s="62"/>
      <c r="J733" s="62"/>
      <c r="K733" s="63"/>
      <c r="O733" s="62"/>
      <c r="Q733" s="62"/>
    </row>
    <row r="734" ht="14.25" customHeight="1" spans="1:17" x14ac:dyDescent="0.25">
      <c r="E734" s="62"/>
      <c r="J734" s="62"/>
      <c r="K734" s="63"/>
      <c r="O734" s="62"/>
      <c r="Q734" s="62"/>
    </row>
    <row r="735" ht="14.25" customHeight="1" spans="1:17" x14ac:dyDescent="0.25">
      <c r="E735" s="62"/>
      <c r="J735" s="62"/>
      <c r="K735" s="63"/>
      <c r="O735" s="62"/>
      <c r="Q735" s="62"/>
    </row>
    <row r="736" ht="14.25" customHeight="1" spans="1:17" x14ac:dyDescent="0.25">
      <c r="E736" s="62"/>
      <c r="J736" s="62"/>
      <c r="K736" s="63"/>
      <c r="O736" s="62"/>
      <c r="Q736" s="62"/>
    </row>
    <row r="737" ht="14.25" customHeight="1" spans="1:17" x14ac:dyDescent="0.25">
      <c r="E737" s="62"/>
      <c r="J737" s="62"/>
      <c r="K737" s="63"/>
      <c r="O737" s="62"/>
      <c r="Q737" s="62"/>
    </row>
    <row r="738" ht="14.25" customHeight="1" spans="1:17" x14ac:dyDescent="0.25">
      <c r="E738" s="62"/>
      <c r="J738" s="62"/>
      <c r="K738" s="63"/>
      <c r="O738" s="62"/>
      <c r="Q738" s="62"/>
    </row>
    <row r="739" ht="14.25" customHeight="1" spans="1:17" x14ac:dyDescent="0.25">
      <c r="E739" s="62"/>
      <c r="J739" s="62"/>
      <c r="K739" s="63"/>
      <c r="O739" s="62"/>
      <c r="Q739" s="62"/>
    </row>
    <row r="740" ht="14.25" customHeight="1" spans="1:17" x14ac:dyDescent="0.25">
      <c r="E740" s="62"/>
      <c r="J740" s="62"/>
      <c r="K740" s="63"/>
      <c r="O740" s="62"/>
      <c r="Q740" s="62"/>
    </row>
    <row r="741" ht="14.25" customHeight="1" spans="1:17" x14ac:dyDescent="0.25">
      <c r="E741" s="62"/>
      <c r="J741" s="62"/>
      <c r="K741" s="63"/>
      <c r="O741" s="62"/>
      <c r="Q741" s="62"/>
    </row>
    <row r="742" ht="14.25" customHeight="1" spans="1:17" x14ac:dyDescent="0.25">
      <c r="E742" s="62"/>
      <c r="J742" s="62"/>
      <c r="K742" s="63"/>
      <c r="O742" s="62"/>
      <c r="Q742" s="62"/>
    </row>
    <row r="743" ht="14.25" customHeight="1" spans="1:17" x14ac:dyDescent="0.25">
      <c r="E743" s="62"/>
      <c r="J743" s="62"/>
      <c r="K743" s="63"/>
      <c r="O743" s="62"/>
      <c r="Q743" s="62"/>
    </row>
    <row r="744" ht="14.25" customHeight="1" spans="1:17" x14ac:dyDescent="0.25">
      <c r="E744" s="62"/>
      <c r="J744" s="62"/>
      <c r="K744" s="63"/>
      <c r="O744" s="62"/>
      <c r="Q744" s="62"/>
    </row>
    <row r="745" ht="14.25" customHeight="1" spans="1:17" x14ac:dyDescent="0.25">
      <c r="E745" s="62"/>
      <c r="J745" s="62"/>
      <c r="K745" s="63"/>
      <c r="O745" s="62"/>
      <c r="Q745" s="62"/>
    </row>
    <row r="746" ht="14.25" customHeight="1" spans="1:17" x14ac:dyDescent="0.25">
      <c r="E746" s="62"/>
      <c r="J746" s="62"/>
      <c r="K746" s="63"/>
      <c r="O746" s="62"/>
      <c r="Q746" s="62"/>
    </row>
    <row r="747" ht="14.25" customHeight="1" spans="1:17" x14ac:dyDescent="0.25">
      <c r="E747" s="62"/>
      <c r="J747" s="62"/>
      <c r="K747" s="63"/>
      <c r="O747" s="62"/>
      <c r="Q747" s="62"/>
    </row>
    <row r="748" ht="14.25" customHeight="1" spans="1:17" x14ac:dyDescent="0.25">
      <c r="E748" s="62"/>
      <c r="J748" s="62"/>
      <c r="K748" s="63"/>
      <c r="O748" s="62"/>
      <c r="Q748" s="62"/>
    </row>
    <row r="749" ht="14.25" customHeight="1" spans="1:17" x14ac:dyDescent="0.25">
      <c r="E749" s="62"/>
      <c r="J749" s="62"/>
      <c r="K749" s="63"/>
      <c r="O749" s="62"/>
      <c r="Q749" s="62"/>
    </row>
    <row r="750" ht="14.25" customHeight="1" spans="1:17" x14ac:dyDescent="0.25">
      <c r="E750" s="62"/>
      <c r="J750" s="62"/>
      <c r="K750" s="63"/>
      <c r="O750" s="62"/>
      <c r="Q750" s="62"/>
    </row>
    <row r="751" ht="14.25" customHeight="1" spans="1:17" x14ac:dyDescent="0.25">
      <c r="E751" s="62"/>
      <c r="J751" s="62"/>
      <c r="K751" s="63"/>
      <c r="O751" s="62"/>
      <c r="Q751" s="62"/>
    </row>
    <row r="752" ht="14.25" customHeight="1" spans="1:17" x14ac:dyDescent="0.25">
      <c r="E752" s="62"/>
      <c r="J752" s="62"/>
      <c r="K752" s="63"/>
      <c r="O752" s="62"/>
      <c r="Q752" s="62"/>
    </row>
    <row r="753" ht="14.25" customHeight="1" spans="1:17" x14ac:dyDescent="0.25">
      <c r="E753" s="62"/>
      <c r="J753" s="62"/>
      <c r="K753" s="63"/>
      <c r="O753" s="62"/>
      <c r="Q753" s="62"/>
    </row>
    <row r="754" ht="14.25" customHeight="1" spans="1:17" x14ac:dyDescent="0.25">
      <c r="E754" s="62"/>
      <c r="J754" s="62"/>
      <c r="K754" s="63"/>
      <c r="O754" s="62"/>
      <c r="Q754" s="62"/>
    </row>
    <row r="755" ht="14.25" customHeight="1" spans="1:17" x14ac:dyDescent="0.25">
      <c r="E755" s="62"/>
      <c r="J755" s="62"/>
      <c r="K755" s="63"/>
      <c r="O755" s="62"/>
      <c r="Q755" s="62"/>
    </row>
    <row r="756" ht="14.25" customHeight="1" spans="1:17" x14ac:dyDescent="0.25">
      <c r="E756" s="62"/>
      <c r="J756" s="62"/>
      <c r="K756" s="63"/>
      <c r="O756" s="62"/>
      <c r="Q756" s="62"/>
    </row>
    <row r="757" ht="14.25" customHeight="1" spans="1:17" x14ac:dyDescent="0.25">
      <c r="E757" s="62"/>
      <c r="J757" s="62"/>
      <c r="K757" s="63"/>
      <c r="O757" s="62"/>
      <c r="Q757" s="62"/>
    </row>
    <row r="758" ht="14.25" customHeight="1" spans="1:17" x14ac:dyDescent="0.25">
      <c r="E758" s="62"/>
      <c r="J758" s="62"/>
      <c r="K758" s="63"/>
      <c r="O758" s="62"/>
      <c r="Q758" s="62"/>
    </row>
    <row r="759" ht="14.25" customHeight="1" spans="1:17" x14ac:dyDescent="0.25">
      <c r="E759" s="62"/>
      <c r="J759" s="62"/>
      <c r="K759" s="63"/>
      <c r="O759" s="62"/>
      <c r="Q759" s="62"/>
    </row>
    <row r="760" ht="14.25" customHeight="1" spans="1:17" x14ac:dyDescent="0.25">
      <c r="E760" s="62"/>
      <c r="J760" s="62"/>
      <c r="K760" s="63"/>
      <c r="O760" s="62"/>
      <c r="Q760" s="62"/>
    </row>
    <row r="761" ht="14.25" customHeight="1" spans="1:17" x14ac:dyDescent="0.25">
      <c r="E761" s="62"/>
      <c r="J761" s="62"/>
      <c r="K761" s="63"/>
      <c r="O761" s="62"/>
      <c r="Q761" s="62"/>
    </row>
    <row r="762" ht="14.25" customHeight="1" spans="1:17" x14ac:dyDescent="0.25">
      <c r="E762" s="62"/>
      <c r="J762" s="62"/>
      <c r="K762" s="63"/>
      <c r="O762" s="62"/>
      <c r="Q762" s="62"/>
    </row>
    <row r="763" ht="14.25" customHeight="1" spans="1:17" x14ac:dyDescent="0.25">
      <c r="E763" s="62"/>
      <c r="J763" s="62"/>
      <c r="K763" s="63"/>
      <c r="O763" s="62"/>
      <c r="Q763" s="62"/>
    </row>
    <row r="764" ht="14.25" customHeight="1" spans="1:17" x14ac:dyDescent="0.25">
      <c r="E764" s="62"/>
      <c r="J764" s="62"/>
      <c r="K764" s="63"/>
      <c r="O764" s="62"/>
      <c r="Q764" s="62"/>
    </row>
    <row r="765" ht="14.25" customHeight="1" spans="1:17" x14ac:dyDescent="0.25">
      <c r="E765" s="62"/>
      <c r="J765" s="62"/>
      <c r="K765" s="63"/>
      <c r="O765" s="62"/>
      <c r="Q765" s="62"/>
    </row>
    <row r="766" ht="14.25" customHeight="1" spans="1:17" x14ac:dyDescent="0.25">
      <c r="E766" s="62"/>
      <c r="J766" s="62"/>
      <c r="K766" s="63"/>
      <c r="O766" s="62"/>
      <c r="Q766" s="62"/>
    </row>
    <row r="767" ht="14.25" customHeight="1" spans="1:17" x14ac:dyDescent="0.25">
      <c r="E767" s="62"/>
      <c r="J767" s="62"/>
      <c r="K767" s="63"/>
      <c r="O767" s="62"/>
      <c r="Q767" s="62"/>
    </row>
    <row r="768" ht="14.25" customHeight="1" spans="1:17" x14ac:dyDescent="0.25">
      <c r="E768" s="62"/>
      <c r="J768" s="62"/>
      <c r="K768" s="63"/>
      <c r="O768" s="62"/>
      <c r="Q768" s="62"/>
    </row>
    <row r="769" ht="14.25" customHeight="1" spans="1:17" x14ac:dyDescent="0.25">
      <c r="E769" s="62"/>
      <c r="J769" s="62"/>
      <c r="K769" s="63"/>
      <c r="O769" s="62"/>
      <c r="Q769" s="62"/>
    </row>
    <row r="770" ht="14.25" customHeight="1" spans="1:17" x14ac:dyDescent="0.25">
      <c r="E770" s="62"/>
      <c r="J770" s="62"/>
      <c r="K770" s="63"/>
      <c r="O770" s="62"/>
      <c r="Q770" s="62"/>
    </row>
    <row r="771" ht="14.25" customHeight="1" spans="1:17" x14ac:dyDescent="0.25">
      <c r="E771" s="62"/>
      <c r="J771" s="62"/>
      <c r="K771" s="63"/>
      <c r="O771" s="62"/>
      <c r="Q771" s="62"/>
    </row>
    <row r="772" ht="14.25" customHeight="1" spans="1:17" x14ac:dyDescent="0.25">
      <c r="E772" s="62"/>
      <c r="J772" s="62"/>
      <c r="K772" s="63"/>
      <c r="O772" s="62"/>
      <c r="Q772" s="62"/>
    </row>
    <row r="773" ht="14.25" customHeight="1" spans="1:17" x14ac:dyDescent="0.25">
      <c r="E773" s="62"/>
      <c r="J773" s="62"/>
      <c r="K773" s="63"/>
      <c r="O773" s="62"/>
      <c r="Q773" s="62"/>
    </row>
    <row r="774" ht="14.25" customHeight="1" spans="1:17" x14ac:dyDescent="0.25">
      <c r="E774" s="62"/>
      <c r="J774" s="62"/>
      <c r="K774" s="63"/>
      <c r="O774" s="62"/>
      <c r="Q774" s="62"/>
    </row>
    <row r="775" ht="14.25" customHeight="1" spans="1:17" x14ac:dyDescent="0.25">
      <c r="E775" s="62"/>
      <c r="J775" s="62"/>
      <c r="K775" s="63"/>
      <c r="O775" s="62"/>
      <c r="Q775" s="62"/>
    </row>
    <row r="776" ht="14.25" customHeight="1" spans="1:17" x14ac:dyDescent="0.25">
      <c r="E776" s="62"/>
      <c r="J776" s="62"/>
      <c r="K776" s="63"/>
      <c r="O776" s="62"/>
      <c r="Q776" s="62"/>
    </row>
    <row r="777" ht="14.25" customHeight="1" spans="1:17" x14ac:dyDescent="0.25">
      <c r="E777" s="62"/>
      <c r="J777" s="62"/>
      <c r="K777" s="63"/>
      <c r="O777" s="62"/>
      <c r="Q777" s="62"/>
    </row>
    <row r="778" ht="14.25" customHeight="1" spans="1:17" x14ac:dyDescent="0.25">
      <c r="E778" s="62"/>
      <c r="J778" s="62"/>
      <c r="K778" s="63"/>
      <c r="O778" s="62"/>
      <c r="Q778" s="62"/>
    </row>
    <row r="779" ht="14.25" customHeight="1" spans="1:17" x14ac:dyDescent="0.25">
      <c r="E779" s="62"/>
      <c r="J779" s="62"/>
      <c r="K779" s="63"/>
      <c r="O779" s="62"/>
      <c r="Q779" s="62"/>
    </row>
    <row r="780" ht="14.25" customHeight="1" spans="1:17" x14ac:dyDescent="0.25">
      <c r="E780" s="62"/>
      <c r="J780" s="62"/>
      <c r="K780" s="63"/>
      <c r="O780" s="62"/>
      <c r="Q780" s="62"/>
    </row>
    <row r="781" ht="14.25" customHeight="1" spans="1:17" x14ac:dyDescent="0.25">
      <c r="E781" s="62"/>
      <c r="J781" s="62"/>
      <c r="K781" s="63"/>
      <c r="O781" s="62"/>
      <c r="Q781" s="62"/>
    </row>
    <row r="782" ht="14.25" customHeight="1" spans="1:17" x14ac:dyDescent="0.25">
      <c r="E782" s="62"/>
      <c r="J782" s="62"/>
      <c r="K782" s="63"/>
      <c r="O782" s="62"/>
      <c r="Q782" s="62"/>
    </row>
    <row r="783" ht="14.25" customHeight="1" spans="1:17" x14ac:dyDescent="0.25">
      <c r="E783" s="62"/>
      <c r="J783" s="62"/>
      <c r="K783" s="63"/>
      <c r="O783" s="62"/>
      <c r="Q783" s="62"/>
    </row>
    <row r="784" ht="14.25" customHeight="1" spans="1:17" x14ac:dyDescent="0.25">
      <c r="E784" s="62"/>
      <c r="J784" s="62"/>
      <c r="K784" s="63"/>
      <c r="O784" s="62"/>
      <c r="Q784" s="62"/>
    </row>
    <row r="785" ht="14.25" customHeight="1" spans="1:17" x14ac:dyDescent="0.25">
      <c r="E785" s="62"/>
      <c r="J785" s="62"/>
      <c r="K785" s="63"/>
      <c r="O785" s="62"/>
      <c r="Q785" s="62"/>
    </row>
    <row r="786" ht="14.25" customHeight="1" spans="1:17" x14ac:dyDescent="0.25">
      <c r="E786" s="62"/>
      <c r="J786" s="62"/>
      <c r="K786" s="63"/>
      <c r="O786" s="62"/>
      <c r="Q786" s="62"/>
    </row>
    <row r="787" ht="14.25" customHeight="1" spans="1:17" x14ac:dyDescent="0.25">
      <c r="E787" s="62"/>
      <c r="J787" s="62"/>
      <c r="K787" s="63"/>
      <c r="O787" s="62"/>
      <c r="Q787" s="62"/>
    </row>
    <row r="788" ht="14.25" customHeight="1" spans="1:17" x14ac:dyDescent="0.25">
      <c r="E788" s="62"/>
      <c r="J788" s="62"/>
      <c r="K788" s="63"/>
      <c r="O788" s="62"/>
      <c r="Q788" s="62"/>
    </row>
    <row r="789" ht="14.25" customHeight="1" spans="1:17" x14ac:dyDescent="0.25">
      <c r="E789" s="62"/>
      <c r="J789" s="62"/>
      <c r="K789" s="63"/>
      <c r="O789" s="62"/>
      <c r="Q789" s="62"/>
    </row>
    <row r="790" ht="14.25" customHeight="1" spans="1:17" x14ac:dyDescent="0.25">
      <c r="E790" s="62"/>
      <c r="J790" s="62"/>
      <c r="K790" s="63"/>
      <c r="O790" s="62"/>
      <c r="Q790" s="62"/>
    </row>
    <row r="791" ht="14.25" customHeight="1" spans="1:17" x14ac:dyDescent="0.25">
      <c r="E791" s="62"/>
      <c r="J791" s="62"/>
      <c r="K791" s="63"/>
      <c r="O791" s="62"/>
      <c r="Q791" s="62"/>
    </row>
    <row r="792" ht="14.25" customHeight="1" spans="1:17" x14ac:dyDescent="0.25">
      <c r="E792" s="62"/>
      <c r="J792" s="62"/>
      <c r="K792" s="63"/>
      <c r="O792" s="62"/>
      <c r="Q792" s="62"/>
    </row>
    <row r="793" ht="14.25" customHeight="1" spans="1:17" x14ac:dyDescent="0.25">
      <c r="E793" s="62"/>
      <c r="J793" s="62"/>
      <c r="K793" s="63"/>
      <c r="O793" s="62"/>
      <c r="Q793" s="62"/>
    </row>
    <row r="794" ht="14.25" customHeight="1" spans="1:17" x14ac:dyDescent="0.25">
      <c r="E794" s="62"/>
      <c r="J794" s="62"/>
      <c r="K794" s="63"/>
      <c r="O794" s="62"/>
      <c r="Q794" s="62"/>
    </row>
    <row r="795" ht="14.25" customHeight="1" spans="1:17" x14ac:dyDescent="0.25">
      <c r="E795" s="62"/>
      <c r="J795" s="62"/>
      <c r="K795" s="63"/>
      <c r="O795" s="62"/>
      <c r="Q795" s="62"/>
    </row>
    <row r="796" ht="14.25" customHeight="1" spans="1:17" x14ac:dyDescent="0.25">
      <c r="E796" s="62"/>
      <c r="J796" s="62"/>
      <c r="K796" s="63"/>
      <c r="O796" s="62"/>
      <c r="Q796" s="62"/>
    </row>
    <row r="797" ht="14.25" customHeight="1" spans="1:17" x14ac:dyDescent="0.25">
      <c r="E797" s="62"/>
      <c r="J797" s="62"/>
      <c r="K797" s="63"/>
      <c r="O797" s="62"/>
      <c r="Q797" s="62"/>
    </row>
    <row r="798" ht="14.25" customHeight="1" spans="1:17" x14ac:dyDescent="0.25">
      <c r="E798" s="62"/>
      <c r="J798" s="62"/>
      <c r="K798" s="63"/>
      <c r="O798" s="62"/>
      <c r="Q798" s="62"/>
    </row>
    <row r="799" ht="14.25" customHeight="1" spans="1:17" x14ac:dyDescent="0.25">
      <c r="E799" s="62"/>
      <c r="J799" s="62"/>
      <c r="K799" s="63"/>
      <c r="O799" s="62"/>
      <c r="Q799" s="62"/>
    </row>
    <row r="800" ht="14.25" customHeight="1" spans="1:17" x14ac:dyDescent="0.25">
      <c r="E800" s="62"/>
      <c r="J800" s="62"/>
      <c r="K800" s="63"/>
      <c r="O800" s="62"/>
      <c r="Q800" s="62"/>
    </row>
    <row r="801" ht="14.25" customHeight="1" spans="1:17" x14ac:dyDescent="0.25">
      <c r="E801" s="62"/>
      <c r="J801" s="62"/>
      <c r="K801" s="63"/>
      <c r="O801" s="62"/>
      <c r="Q801" s="62"/>
    </row>
    <row r="802" ht="14.25" customHeight="1" spans="1:17" x14ac:dyDescent="0.25">
      <c r="E802" s="62"/>
      <c r="J802" s="62"/>
      <c r="K802" s="63"/>
      <c r="O802" s="62"/>
      <c r="Q802" s="62"/>
    </row>
    <row r="803" ht="14.25" customHeight="1" spans="1:17" x14ac:dyDescent="0.25">
      <c r="E803" s="62"/>
      <c r="J803" s="62"/>
      <c r="K803" s="63"/>
      <c r="O803" s="62"/>
      <c r="Q803" s="62"/>
    </row>
    <row r="804" ht="14.25" customHeight="1" spans="1:17" x14ac:dyDescent="0.25">
      <c r="E804" s="62"/>
      <c r="J804" s="62"/>
      <c r="K804" s="63"/>
      <c r="O804" s="62"/>
      <c r="Q804" s="62"/>
    </row>
    <row r="805" ht="14.25" customHeight="1" spans="1:17" x14ac:dyDescent="0.25">
      <c r="E805" s="62"/>
      <c r="J805" s="62"/>
      <c r="K805" s="63"/>
      <c r="O805" s="62"/>
      <c r="Q805" s="62"/>
    </row>
    <row r="806" ht="14.25" customHeight="1" spans="1:17" x14ac:dyDescent="0.25">
      <c r="E806" s="62"/>
      <c r="J806" s="62"/>
      <c r="K806" s="63"/>
      <c r="O806" s="62"/>
      <c r="Q806" s="62"/>
    </row>
    <row r="807" ht="14.25" customHeight="1" spans="1:17" x14ac:dyDescent="0.25">
      <c r="E807" s="62"/>
      <c r="J807" s="62"/>
      <c r="K807" s="63"/>
      <c r="O807" s="62"/>
      <c r="Q807" s="62"/>
    </row>
    <row r="808" ht="14.25" customHeight="1" spans="1:17" x14ac:dyDescent="0.25">
      <c r="E808" s="62"/>
      <c r="J808" s="62"/>
      <c r="K808" s="63"/>
      <c r="O808" s="62"/>
      <c r="Q808" s="62"/>
    </row>
    <row r="809" ht="14.25" customHeight="1" spans="1:17" x14ac:dyDescent="0.25">
      <c r="E809" s="62"/>
      <c r="J809" s="62"/>
      <c r="K809" s="63"/>
      <c r="O809" s="62"/>
      <c r="Q809" s="62"/>
    </row>
    <row r="810" ht="14.25" customHeight="1" spans="1:17" x14ac:dyDescent="0.25">
      <c r="E810" s="62"/>
      <c r="J810" s="62"/>
      <c r="K810" s="63"/>
      <c r="O810" s="62"/>
      <c r="Q810" s="62"/>
    </row>
    <row r="811" ht="14.25" customHeight="1" spans="1:17" x14ac:dyDescent="0.25">
      <c r="E811" s="62"/>
      <c r="J811" s="62"/>
      <c r="K811" s="63"/>
      <c r="O811" s="62"/>
      <c r="Q811" s="62"/>
    </row>
    <row r="812" ht="14.25" customHeight="1" spans="1:17" x14ac:dyDescent="0.25">
      <c r="E812" s="62"/>
      <c r="J812" s="62"/>
      <c r="K812" s="63"/>
      <c r="O812" s="62"/>
      <c r="Q812" s="62"/>
    </row>
    <row r="813" ht="14.25" customHeight="1" spans="1:17" x14ac:dyDescent="0.25">
      <c r="E813" s="62"/>
      <c r="J813" s="62"/>
      <c r="K813" s="63"/>
      <c r="O813" s="62"/>
      <c r="Q813" s="62"/>
    </row>
    <row r="814" ht="14.25" customHeight="1" spans="1:17" x14ac:dyDescent="0.25">
      <c r="E814" s="62"/>
      <c r="J814" s="62"/>
      <c r="K814" s="63"/>
      <c r="O814" s="62"/>
      <c r="Q814" s="62"/>
    </row>
    <row r="815" ht="14.25" customHeight="1" spans="1:17" x14ac:dyDescent="0.25">
      <c r="E815" s="62"/>
      <c r="J815" s="62"/>
      <c r="K815" s="63"/>
      <c r="O815" s="62"/>
      <c r="Q815" s="62"/>
    </row>
    <row r="816" ht="14.25" customHeight="1" spans="1:17" x14ac:dyDescent="0.25">
      <c r="E816" s="62"/>
      <c r="J816" s="62"/>
      <c r="K816" s="63"/>
      <c r="O816" s="62"/>
      <c r="Q816" s="62"/>
    </row>
    <row r="817" ht="14.25" customHeight="1" spans="1:17" x14ac:dyDescent="0.25">
      <c r="E817" s="62"/>
      <c r="J817" s="62"/>
      <c r="K817" s="63"/>
      <c r="O817" s="62"/>
      <c r="Q817" s="62"/>
    </row>
    <row r="818" ht="14.25" customHeight="1" spans="1:17" x14ac:dyDescent="0.25">
      <c r="E818" s="62"/>
      <c r="J818" s="62"/>
      <c r="K818" s="63"/>
      <c r="O818" s="62"/>
      <c r="Q818" s="62"/>
    </row>
    <row r="819" ht="14.25" customHeight="1" spans="1:17" x14ac:dyDescent="0.25">
      <c r="E819" s="62"/>
      <c r="J819" s="62"/>
      <c r="K819" s="63"/>
      <c r="O819" s="62"/>
      <c r="Q819" s="62"/>
    </row>
    <row r="820" ht="14.25" customHeight="1" spans="1:17" x14ac:dyDescent="0.25">
      <c r="E820" s="62"/>
      <c r="J820" s="62"/>
      <c r="K820" s="63"/>
      <c r="O820" s="62"/>
      <c r="Q820" s="62"/>
    </row>
    <row r="821" ht="14.25" customHeight="1" spans="1:17" x14ac:dyDescent="0.25">
      <c r="E821" s="62"/>
      <c r="J821" s="62"/>
      <c r="K821" s="63"/>
      <c r="O821" s="62"/>
      <c r="Q821" s="62"/>
    </row>
    <row r="822" ht="14.25" customHeight="1" spans="1:17" x14ac:dyDescent="0.25">
      <c r="E822" s="62"/>
      <c r="J822" s="62"/>
      <c r="K822" s="63"/>
      <c r="O822" s="62"/>
      <c r="Q822" s="62"/>
    </row>
    <row r="823" ht="14.25" customHeight="1" spans="1:17" x14ac:dyDescent="0.25">
      <c r="E823" s="62"/>
      <c r="J823" s="62"/>
      <c r="K823" s="63"/>
      <c r="O823" s="62"/>
      <c r="Q823" s="62"/>
    </row>
    <row r="824" ht="14.25" customHeight="1" spans="1:17" x14ac:dyDescent="0.25">
      <c r="E824" s="62"/>
      <c r="J824" s="62"/>
      <c r="K824" s="63"/>
      <c r="O824" s="62"/>
      <c r="Q824" s="62"/>
    </row>
    <row r="825" ht="14.25" customHeight="1" spans="1:17" x14ac:dyDescent="0.25">
      <c r="E825" s="62"/>
      <c r="J825" s="62"/>
      <c r="K825" s="63"/>
      <c r="O825" s="62"/>
      <c r="Q825" s="62"/>
    </row>
    <row r="826" ht="14.25" customHeight="1" spans="1:17" x14ac:dyDescent="0.25">
      <c r="E826" s="62"/>
      <c r="J826" s="62"/>
      <c r="K826" s="63"/>
      <c r="O826" s="62"/>
      <c r="Q826" s="62"/>
    </row>
    <row r="827" ht="14.25" customHeight="1" spans="1:17" x14ac:dyDescent="0.25">
      <c r="E827" s="62"/>
      <c r="J827" s="62"/>
      <c r="K827" s="63"/>
      <c r="O827" s="62"/>
      <c r="Q827" s="62"/>
    </row>
    <row r="828" ht="14.25" customHeight="1" spans="1:17" x14ac:dyDescent="0.25">
      <c r="E828" s="62"/>
      <c r="J828" s="62"/>
      <c r="K828" s="63"/>
      <c r="O828" s="62"/>
      <c r="Q828" s="62"/>
    </row>
    <row r="829" ht="14.25" customHeight="1" spans="1:17" x14ac:dyDescent="0.25">
      <c r="E829" s="62"/>
      <c r="J829" s="62"/>
      <c r="K829" s="63"/>
      <c r="O829" s="62"/>
      <c r="Q829" s="62"/>
    </row>
    <row r="830" ht="14.25" customHeight="1" spans="1:17" x14ac:dyDescent="0.25">
      <c r="E830" s="62"/>
      <c r="J830" s="62"/>
      <c r="K830" s="63"/>
      <c r="O830" s="62"/>
      <c r="Q830" s="62"/>
    </row>
    <row r="831" ht="14.25" customHeight="1" spans="1:17" x14ac:dyDescent="0.25">
      <c r="E831" s="62"/>
      <c r="J831" s="62"/>
      <c r="K831" s="63"/>
      <c r="O831" s="62"/>
      <c r="Q831" s="62"/>
    </row>
    <row r="832" ht="14.25" customHeight="1" spans="1:17" x14ac:dyDescent="0.25">
      <c r="E832" s="62"/>
      <c r="J832" s="62"/>
      <c r="K832" s="63"/>
      <c r="O832" s="62"/>
      <c r="Q832" s="62"/>
    </row>
    <row r="833" ht="14.25" customHeight="1" spans="1:17" x14ac:dyDescent="0.25">
      <c r="E833" s="62"/>
      <c r="J833" s="62"/>
      <c r="K833" s="63"/>
      <c r="O833" s="62"/>
      <c r="Q833" s="62"/>
    </row>
    <row r="834" ht="14.25" customHeight="1" spans="1:17" x14ac:dyDescent="0.25">
      <c r="E834" s="62"/>
      <c r="J834" s="62"/>
      <c r="K834" s="63"/>
      <c r="O834" s="62"/>
      <c r="Q834" s="62"/>
    </row>
    <row r="835" ht="14.25" customHeight="1" spans="1:17" x14ac:dyDescent="0.25">
      <c r="E835" s="62"/>
      <c r="J835" s="62"/>
      <c r="K835" s="63"/>
      <c r="O835" s="62"/>
      <c r="Q835" s="62"/>
    </row>
    <row r="836" ht="14.25" customHeight="1" spans="1:17" x14ac:dyDescent="0.25">
      <c r="E836" s="62"/>
      <c r="J836" s="62"/>
      <c r="K836" s="63"/>
      <c r="O836" s="62"/>
      <c r="Q836" s="62"/>
    </row>
    <row r="837" ht="14.25" customHeight="1" spans="1:17" x14ac:dyDescent="0.25">
      <c r="E837" s="62"/>
      <c r="J837" s="62"/>
      <c r="K837" s="63"/>
      <c r="O837" s="62"/>
      <c r="Q837" s="62"/>
    </row>
    <row r="838" ht="14.25" customHeight="1" spans="1:17" x14ac:dyDescent="0.25">
      <c r="E838" s="62"/>
      <c r="J838" s="62"/>
      <c r="K838" s="63"/>
      <c r="O838" s="62"/>
      <c r="Q838" s="62"/>
    </row>
    <row r="839" ht="14.25" customHeight="1" spans="1:17" x14ac:dyDescent="0.25">
      <c r="E839" s="62"/>
      <c r="J839" s="62"/>
      <c r="K839" s="63"/>
      <c r="O839" s="62"/>
      <c r="Q839" s="62"/>
    </row>
    <row r="840" ht="14.25" customHeight="1" spans="1:17" x14ac:dyDescent="0.25">
      <c r="E840" s="62"/>
      <c r="J840" s="62"/>
      <c r="K840" s="63"/>
      <c r="O840" s="62"/>
      <c r="Q840" s="62"/>
    </row>
    <row r="841" ht="14.25" customHeight="1" spans="1:17" x14ac:dyDescent="0.25">
      <c r="E841" s="62"/>
      <c r="J841" s="62"/>
      <c r="K841" s="63"/>
      <c r="O841" s="62"/>
      <c r="Q841" s="62"/>
    </row>
    <row r="842" ht="14.25" customHeight="1" spans="1:17" x14ac:dyDescent="0.25">
      <c r="E842" s="62"/>
      <c r="J842" s="62"/>
      <c r="K842" s="63"/>
      <c r="O842" s="62"/>
      <c r="Q842" s="62"/>
    </row>
    <row r="843" ht="14.25" customHeight="1" spans="1:17" x14ac:dyDescent="0.25">
      <c r="E843" s="62"/>
      <c r="J843" s="62"/>
      <c r="K843" s="63"/>
      <c r="O843" s="62"/>
      <c r="Q843" s="62"/>
    </row>
    <row r="844" ht="14.25" customHeight="1" spans="1:17" x14ac:dyDescent="0.25">
      <c r="E844" s="62"/>
      <c r="J844" s="62"/>
      <c r="K844" s="63"/>
      <c r="O844" s="62"/>
      <c r="Q844" s="62"/>
    </row>
    <row r="845" ht="14.25" customHeight="1" spans="1:17" x14ac:dyDescent="0.25">
      <c r="E845" s="62"/>
      <c r="J845" s="62"/>
      <c r="K845" s="63"/>
      <c r="O845" s="62"/>
      <c r="Q845" s="62"/>
    </row>
    <row r="846" ht="14.25" customHeight="1" spans="1:17" x14ac:dyDescent="0.25">
      <c r="E846" s="62"/>
      <c r="J846" s="62"/>
      <c r="K846" s="63"/>
      <c r="O846" s="62"/>
      <c r="Q846" s="62"/>
    </row>
    <row r="847" ht="14.25" customHeight="1" spans="1:17" x14ac:dyDescent="0.25">
      <c r="E847" s="62"/>
      <c r="J847" s="62"/>
      <c r="K847" s="63"/>
      <c r="O847" s="62"/>
      <c r="Q847" s="62"/>
    </row>
    <row r="848" ht="14.25" customHeight="1" spans="1:17" x14ac:dyDescent="0.25">
      <c r="E848" s="62"/>
      <c r="J848" s="62"/>
      <c r="K848" s="63"/>
      <c r="O848" s="62"/>
      <c r="Q848" s="62"/>
    </row>
    <row r="849" ht="14.25" customHeight="1" spans="1:17" x14ac:dyDescent="0.25">
      <c r="E849" s="62"/>
      <c r="J849" s="62"/>
      <c r="K849" s="63"/>
      <c r="O849" s="62"/>
      <c r="Q849" s="62"/>
    </row>
    <row r="850" ht="14.25" customHeight="1" spans="1:17" x14ac:dyDescent="0.25">
      <c r="E850" s="62"/>
      <c r="J850" s="62"/>
      <c r="K850" s="63"/>
      <c r="O850" s="62"/>
      <c r="Q850" s="62"/>
    </row>
    <row r="851" ht="14.25" customHeight="1" spans="1:17" x14ac:dyDescent="0.25">
      <c r="E851" s="62"/>
      <c r="J851" s="62"/>
      <c r="K851" s="63"/>
      <c r="O851" s="62"/>
      <c r="Q851" s="62"/>
    </row>
    <row r="852" ht="14.25" customHeight="1" spans="1:17" x14ac:dyDescent="0.25">
      <c r="E852" s="62"/>
      <c r="J852" s="62"/>
      <c r="K852" s="63"/>
      <c r="O852" s="62"/>
      <c r="Q852" s="62"/>
    </row>
    <row r="853" ht="14.25" customHeight="1" spans="1:17" x14ac:dyDescent="0.25">
      <c r="E853" s="62"/>
      <c r="J853" s="62"/>
      <c r="K853" s="63"/>
      <c r="O853" s="62"/>
      <c r="Q853" s="62"/>
    </row>
    <row r="854" ht="14.25" customHeight="1" spans="1:17" x14ac:dyDescent="0.25">
      <c r="E854" s="62"/>
      <c r="J854" s="62"/>
      <c r="K854" s="63"/>
      <c r="O854" s="62"/>
      <c r="Q854" s="62"/>
    </row>
    <row r="855" ht="14.25" customHeight="1" spans="1:17" x14ac:dyDescent="0.25">
      <c r="E855" s="62"/>
      <c r="J855" s="62"/>
      <c r="K855" s="63"/>
      <c r="O855" s="62"/>
      <c r="Q855" s="62"/>
    </row>
    <row r="856" ht="14.25" customHeight="1" spans="1:17" x14ac:dyDescent="0.25">
      <c r="E856" s="62"/>
      <c r="J856" s="62"/>
      <c r="K856" s="63"/>
      <c r="O856" s="62"/>
      <c r="Q856" s="62"/>
    </row>
    <row r="857" ht="14.25" customHeight="1" spans="1:17" x14ac:dyDescent="0.25">
      <c r="E857" s="62"/>
      <c r="J857" s="62"/>
      <c r="K857" s="63"/>
      <c r="O857" s="62"/>
      <c r="Q857" s="62"/>
    </row>
    <row r="858" ht="14.25" customHeight="1" spans="1:17" x14ac:dyDescent="0.25">
      <c r="E858" s="62"/>
      <c r="J858" s="62"/>
      <c r="K858" s="63"/>
      <c r="O858" s="62"/>
      <c r="Q858" s="62"/>
    </row>
    <row r="859" ht="14.25" customHeight="1" spans="1:17" x14ac:dyDescent="0.25">
      <c r="E859" s="62"/>
      <c r="J859" s="62"/>
      <c r="K859" s="63"/>
      <c r="O859" s="62"/>
      <c r="Q859" s="62"/>
    </row>
    <row r="860" ht="14.25" customHeight="1" spans="1:17" x14ac:dyDescent="0.25">
      <c r="E860" s="62"/>
      <c r="J860" s="62"/>
      <c r="K860" s="63"/>
      <c r="O860" s="62"/>
      <c r="Q860" s="62"/>
    </row>
    <row r="861" ht="14.25" customHeight="1" spans="1:17" x14ac:dyDescent="0.25">
      <c r="E861" s="62"/>
      <c r="J861" s="62"/>
      <c r="K861" s="63"/>
      <c r="O861" s="62"/>
      <c r="Q861" s="62"/>
    </row>
    <row r="862" ht="14.25" customHeight="1" spans="1:17" x14ac:dyDescent="0.25">
      <c r="E862" s="62"/>
      <c r="J862" s="62"/>
      <c r="K862" s="63"/>
      <c r="O862" s="62"/>
      <c r="Q862" s="62"/>
    </row>
    <row r="863" ht="14.25" customHeight="1" spans="1:17" x14ac:dyDescent="0.25">
      <c r="E863" s="62"/>
      <c r="J863" s="62"/>
      <c r="K863" s="63"/>
      <c r="O863" s="62"/>
      <c r="Q863" s="62"/>
    </row>
    <row r="864" ht="14.25" customHeight="1" spans="1:17" x14ac:dyDescent="0.25">
      <c r="E864" s="62"/>
      <c r="J864" s="62"/>
      <c r="K864" s="63"/>
      <c r="O864" s="62"/>
      <c r="Q864" s="62"/>
    </row>
    <row r="865" ht="14.25" customHeight="1" spans="1:17" x14ac:dyDescent="0.25">
      <c r="E865" s="62"/>
      <c r="J865" s="62"/>
      <c r="K865" s="63"/>
      <c r="O865" s="62"/>
      <c r="Q865" s="62"/>
    </row>
    <row r="866" ht="14.25" customHeight="1" spans="1:17" x14ac:dyDescent="0.25">
      <c r="E866" s="62"/>
      <c r="J866" s="62"/>
      <c r="K866" s="63"/>
      <c r="O866" s="62"/>
      <c r="Q866" s="62"/>
    </row>
    <row r="867" ht="14.25" customHeight="1" spans="1:17" x14ac:dyDescent="0.25">
      <c r="E867" s="62"/>
      <c r="J867" s="62"/>
      <c r="K867" s="63"/>
      <c r="O867" s="62"/>
      <c r="Q867" s="62"/>
    </row>
    <row r="868" ht="14.25" customHeight="1" spans="1:17" x14ac:dyDescent="0.25">
      <c r="E868" s="62"/>
      <c r="J868" s="62"/>
      <c r="K868" s="63"/>
      <c r="O868" s="62"/>
      <c r="Q868" s="62"/>
    </row>
    <row r="869" ht="14.25" customHeight="1" spans="1:17" x14ac:dyDescent="0.25">
      <c r="E869" s="62"/>
      <c r="J869" s="62"/>
      <c r="K869" s="63"/>
      <c r="O869" s="62"/>
      <c r="Q869" s="62"/>
    </row>
    <row r="870" ht="14.25" customHeight="1" spans="1:17" x14ac:dyDescent="0.25">
      <c r="E870" s="62"/>
      <c r="J870" s="62"/>
      <c r="K870" s="63"/>
      <c r="O870" s="62"/>
      <c r="Q870" s="62"/>
    </row>
    <row r="871" ht="14.25" customHeight="1" spans="1:17" x14ac:dyDescent="0.25">
      <c r="E871" s="62"/>
      <c r="J871" s="62"/>
      <c r="K871" s="63"/>
      <c r="O871" s="62"/>
      <c r="Q871" s="62"/>
    </row>
    <row r="872" ht="14.25" customHeight="1" spans="1:17" x14ac:dyDescent="0.25">
      <c r="E872" s="62"/>
      <c r="J872" s="62"/>
      <c r="K872" s="63"/>
      <c r="O872" s="62"/>
      <c r="Q872" s="62"/>
    </row>
    <row r="873" ht="14.25" customHeight="1" spans="1:17" x14ac:dyDescent="0.25">
      <c r="E873" s="62"/>
      <c r="J873" s="62"/>
      <c r="K873" s="63"/>
      <c r="O873" s="62"/>
      <c r="Q873" s="62"/>
    </row>
    <row r="874" ht="14.25" customHeight="1" spans="1:17" x14ac:dyDescent="0.25">
      <c r="E874" s="62"/>
      <c r="J874" s="62"/>
      <c r="K874" s="63"/>
      <c r="O874" s="62"/>
      <c r="Q874" s="62"/>
    </row>
    <row r="875" ht="14.25" customHeight="1" spans="1:17" x14ac:dyDescent="0.25">
      <c r="E875" s="62"/>
      <c r="J875" s="62"/>
      <c r="K875" s="63"/>
      <c r="O875" s="62"/>
      <c r="Q875" s="62"/>
    </row>
    <row r="876" ht="14.25" customHeight="1" spans="1:17" x14ac:dyDescent="0.25">
      <c r="E876" s="62"/>
      <c r="J876" s="62"/>
      <c r="K876" s="63"/>
      <c r="O876" s="62"/>
      <c r="Q876" s="62"/>
    </row>
    <row r="877" ht="14.25" customHeight="1" spans="1:17" x14ac:dyDescent="0.25">
      <c r="E877" s="62"/>
      <c r="J877" s="62"/>
      <c r="K877" s="63"/>
      <c r="O877" s="62"/>
      <c r="Q877" s="62"/>
    </row>
    <row r="878" ht="14.25" customHeight="1" spans="1:17" x14ac:dyDescent="0.25">
      <c r="E878" s="62"/>
      <c r="J878" s="62"/>
      <c r="K878" s="63"/>
      <c r="O878" s="62"/>
      <c r="Q878" s="62"/>
    </row>
    <row r="879" ht="14.25" customHeight="1" spans="1:17" x14ac:dyDescent="0.25">
      <c r="E879" s="62"/>
      <c r="J879" s="62"/>
      <c r="K879" s="63"/>
      <c r="O879" s="62"/>
      <c r="Q879" s="62"/>
    </row>
    <row r="880" ht="14.25" customHeight="1" spans="1:17" x14ac:dyDescent="0.25">
      <c r="E880" s="62"/>
      <c r="J880" s="62"/>
      <c r="K880" s="63"/>
      <c r="O880" s="62"/>
      <c r="Q880" s="62"/>
    </row>
    <row r="881" ht="14.25" customHeight="1" spans="1:17" x14ac:dyDescent="0.25">
      <c r="E881" s="62"/>
      <c r="J881" s="62"/>
      <c r="K881" s="63"/>
      <c r="O881" s="62"/>
      <c r="Q881" s="62"/>
    </row>
    <row r="882" ht="14.25" customHeight="1" spans="1:17" x14ac:dyDescent="0.25">
      <c r="E882" s="62"/>
      <c r="J882" s="62"/>
      <c r="K882" s="63"/>
      <c r="O882" s="62"/>
      <c r="Q882" s="62"/>
    </row>
    <row r="883" ht="14.25" customHeight="1" spans="1:17" x14ac:dyDescent="0.25">
      <c r="E883" s="62"/>
      <c r="J883" s="62"/>
      <c r="K883" s="63"/>
      <c r="O883" s="62"/>
      <c r="Q883" s="62"/>
    </row>
    <row r="884" ht="14.25" customHeight="1" spans="1:17" x14ac:dyDescent="0.25">
      <c r="E884" s="62"/>
      <c r="J884" s="62"/>
      <c r="K884" s="63"/>
      <c r="O884" s="62"/>
      <c r="Q884" s="62"/>
    </row>
    <row r="885" ht="14.25" customHeight="1" spans="1:17" x14ac:dyDescent="0.25">
      <c r="E885" s="62"/>
      <c r="J885" s="62"/>
      <c r="K885" s="63"/>
      <c r="O885" s="62"/>
      <c r="Q885" s="62"/>
    </row>
    <row r="886" ht="14.25" customHeight="1" spans="1:17" x14ac:dyDescent="0.25">
      <c r="E886" s="62"/>
      <c r="J886" s="62"/>
      <c r="K886" s="63"/>
      <c r="O886" s="62"/>
      <c r="Q886" s="62"/>
    </row>
    <row r="887" ht="14.25" customHeight="1" spans="1:17" x14ac:dyDescent="0.25">
      <c r="E887" s="62"/>
      <c r="J887" s="62"/>
      <c r="K887" s="63"/>
      <c r="O887" s="62"/>
      <c r="Q887" s="62"/>
    </row>
    <row r="888" ht="14.25" customHeight="1" spans="1:17" x14ac:dyDescent="0.25">
      <c r="E888" s="62"/>
      <c r="J888" s="62"/>
      <c r="K888" s="63"/>
      <c r="O888" s="62"/>
      <c r="Q888" s="62"/>
    </row>
    <row r="889" ht="14.25" customHeight="1" spans="1:17" x14ac:dyDescent="0.25">
      <c r="E889" s="62"/>
      <c r="J889" s="62"/>
      <c r="K889" s="63"/>
      <c r="O889" s="62"/>
      <c r="Q889" s="62"/>
    </row>
    <row r="890" ht="14.25" customHeight="1" spans="1:17" x14ac:dyDescent="0.25">
      <c r="E890" s="62"/>
      <c r="J890" s="62"/>
      <c r="K890" s="63"/>
      <c r="O890" s="62"/>
      <c r="Q890" s="62"/>
    </row>
    <row r="891" ht="14.25" customHeight="1" spans="1:17" x14ac:dyDescent="0.25">
      <c r="E891" s="62"/>
      <c r="J891" s="62"/>
      <c r="K891" s="63"/>
      <c r="O891" s="62"/>
      <c r="Q891" s="62"/>
    </row>
    <row r="892" ht="14.25" customHeight="1" spans="1:17" x14ac:dyDescent="0.25">
      <c r="E892" s="62"/>
      <c r="J892" s="62"/>
      <c r="K892" s="63"/>
      <c r="O892" s="62"/>
      <c r="Q892" s="62"/>
    </row>
    <row r="893" ht="14.25" customHeight="1" spans="1:17" x14ac:dyDescent="0.25">
      <c r="E893" s="62"/>
      <c r="J893" s="62"/>
      <c r="K893" s="63"/>
      <c r="O893" s="62"/>
      <c r="Q893" s="62"/>
    </row>
    <row r="894" ht="14.25" customHeight="1" spans="1:17" x14ac:dyDescent="0.25">
      <c r="E894" s="62"/>
      <c r="J894" s="62"/>
      <c r="K894" s="63"/>
      <c r="O894" s="62"/>
      <c r="Q894" s="62"/>
    </row>
    <row r="895" ht="14.25" customHeight="1" spans="1:17" x14ac:dyDescent="0.25">
      <c r="E895" s="62"/>
      <c r="J895" s="62"/>
      <c r="K895" s="63"/>
      <c r="O895" s="62"/>
      <c r="Q895" s="62"/>
    </row>
    <row r="896" ht="14.25" customHeight="1" spans="1:17" x14ac:dyDescent="0.25">
      <c r="E896" s="62"/>
      <c r="J896" s="62"/>
      <c r="K896" s="63"/>
      <c r="O896" s="62"/>
      <c r="Q896" s="62"/>
    </row>
    <row r="897" ht="14.25" customHeight="1" spans="1:17" x14ac:dyDescent="0.25">
      <c r="E897" s="62"/>
      <c r="J897" s="62"/>
      <c r="K897" s="63"/>
      <c r="O897" s="62"/>
      <c r="Q897" s="62"/>
    </row>
    <row r="898" ht="14.25" customHeight="1" spans="1:17" x14ac:dyDescent="0.25">
      <c r="E898" s="62"/>
      <c r="J898" s="62"/>
      <c r="K898" s="63"/>
      <c r="O898" s="62"/>
      <c r="Q898" s="62"/>
    </row>
    <row r="899" ht="14.25" customHeight="1" spans="1:17" x14ac:dyDescent="0.25">
      <c r="E899" s="62"/>
      <c r="J899" s="62"/>
      <c r="K899" s="63"/>
      <c r="O899" s="62"/>
      <c r="Q899" s="62"/>
    </row>
    <row r="900" ht="14.25" customHeight="1" spans="1:17" x14ac:dyDescent="0.25">
      <c r="E900" s="62"/>
      <c r="J900" s="62"/>
      <c r="K900" s="63"/>
      <c r="O900" s="62"/>
      <c r="Q900" s="62"/>
    </row>
    <row r="901" ht="14.25" customHeight="1" spans="1:17" x14ac:dyDescent="0.25">
      <c r="E901" s="62"/>
      <c r="J901" s="62"/>
      <c r="K901" s="63"/>
      <c r="O901" s="62"/>
      <c r="Q901" s="62"/>
    </row>
    <row r="902" ht="14.25" customHeight="1" spans="1:17" x14ac:dyDescent="0.25">
      <c r="E902" s="62"/>
      <c r="J902" s="62"/>
      <c r="K902" s="63"/>
      <c r="O902" s="62"/>
      <c r="Q902" s="62"/>
    </row>
    <row r="903" ht="14.25" customHeight="1" spans="1:17" x14ac:dyDescent="0.25">
      <c r="E903" s="62"/>
      <c r="J903" s="62"/>
      <c r="K903" s="63"/>
      <c r="O903" s="62"/>
      <c r="Q903" s="62"/>
    </row>
    <row r="904" ht="14.25" customHeight="1" spans="1:17" x14ac:dyDescent="0.25">
      <c r="E904" s="62"/>
      <c r="J904" s="62"/>
      <c r="K904" s="63"/>
      <c r="O904" s="62"/>
      <c r="Q904" s="62"/>
    </row>
    <row r="905" ht="14.25" customHeight="1" spans="1:17" x14ac:dyDescent="0.25">
      <c r="E905" s="62"/>
      <c r="J905" s="62"/>
      <c r="K905" s="63"/>
      <c r="O905" s="62"/>
      <c r="Q905" s="62"/>
    </row>
    <row r="906" ht="14.25" customHeight="1" spans="1:17" x14ac:dyDescent="0.25">
      <c r="E906" s="62"/>
      <c r="J906" s="62"/>
      <c r="K906" s="63"/>
      <c r="O906" s="62"/>
      <c r="Q906" s="62"/>
    </row>
    <row r="907" ht="14.25" customHeight="1" spans="1:17" x14ac:dyDescent="0.25">
      <c r="E907" s="62"/>
      <c r="J907" s="62"/>
      <c r="K907" s="63"/>
      <c r="O907" s="62"/>
      <c r="Q907" s="62"/>
    </row>
    <row r="908" ht="14.25" customHeight="1" spans="1:17" x14ac:dyDescent="0.25">
      <c r="E908" s="62"/>
      <c r="J908" s="62"/>
      <c r="K908" s="63"/>
      <c r="O908" s="62"/>
      <c r="Q908" s="62"/>
    </row>
    <row r="909" ht="14.25" customHeight="1" spans="1:17" x14ac:dyDescent="0.25">
      <c r="E909" s="62"/>
      <c r="J909" s="62"/>
      <c r="K909" s="63"/>
      <c r="O909" s="62"/>
      <c r="Q909" s="62"/>
    </row>
    <row r="910" ht="14.25" customHeight="1" spans="1:17" x14ac:dyDescent="0.25">
      <c r="E910" s="62"/>
      <c r="J910" s="62"/>
      <c r="K910" s="63"/>
      <c r="O910" s="62"/>
      <c r="Q910" s="62"/>
    </row>
    <row r="911" ht="14.25" customHeight="1" spans="1:17" x14ac:dyDescent="0.25">
      <c r="E911" s="62"/>
      <c r="J911" s="62"/>
      <c r="K911" s="63"/>
      <c r="O911" s="62"/>
      <c r="Q911" s="62"/>
    </row>
    <row r="912" ht="14.25" customHeight="1" spans="1:17" x14ac:dyDescent="0.25">
      <c r="E912" s="62"/>
      <c r="J912" s="62"/>
      <c r="K912" s="63"/>
      <c r="O912" s="62"/>
      <c r="Q912" s="62"/>
    </row>
    <row r="913" ht="14.25" customHeight="1" spans="1:17" x14ac:dyDescent="0.25">
      <c r="E913" s="62"/>
      <c r="J913" s="62"/>
      <c r="K913" s="63"/>
      <c r="O913" s="62"/>
      <c r="Q913" s="62"/>
    </row>
    <row r="914" ht="14.25" customHeight="1" spans="1:17" x14ac:dyDescent="0.25">
      <c r="E914" s="62"/>
      <c r="J914" s="62"/>
      <c r="K914" s="63"/>
      <c r="O914" s="62"/>
      <c r="Q914" s="62"/>
    </row>
    <row r="915" ht="14.25" customHeight="1" spans="1:17" x14ac:dyDescent="0.25">
      <c r="E915" s="62"/>
      <c r="J915" s="62"/>
      <c r="K915" s="63"/>
      <c r="O915" s="62"/>
      <c r="Q915" s="62"/>
    </row>
    <row r="916" ht="14.25" customHeight="1" spans="1:17" x14ac:dyDescent="0.25">
      <c r="E916" s="62"/>
      <c r="J916" s="62"/>
      <c r="K916" s="63"/>
      <c r="O916" s="62"/>
      <c r="Q916" s="62"/>
    </row>
    <row r="917" ht="14.25" customHeight="1" spans="1:17" x14ac:dyDescent="0.25">
      <c r="E917" s="62"/>
      <c r="J917" s="62"/>
      <c r="K917" s="63"/>
      <c r="O917" s="62"/>
      <c r="Q917" s="62"/>
    </row>
    <row r="918" ht="14.25" customHeight="1" spans="1:17" x14ac:dyDescent="0.25">
      <c r="E918" s="62"/>
      <c r="J918" s="62"/>
      <c r="K918" s="63"/>
      <c r="O918" s="62"/>
      <c r="Q918" s="62"/>
    </row>
    <row r="919" ht="14.25" customHeight="1" spans="1:17" x14ac:dyDescent="0.25">
      <c r="E919" s="62"/>
      <c r="J919" s="62"/>
      <c r="K919" s="63"/>
      <c r="O919" s="62"/>
      <c r="Q919" s="62"/>
    </row>
    <row r="920" ht="14.25" customHeight="1" spans="1:17" x14ac:dyDescent="0.25">
      <c r="E920" s="62"/>
      <c r="J920" s="62"/>
      <c r="K920" s="63"/>
      <c r="O920" s="62"/>
      <c r="Q920" s="62"/>
    </row>
    <row r="921" ht="14.25" customHeight="1" spans="1:17" x14ac:dyDescent="0.25">
      <c r="E921" s="62"/>
      <c r="J921" s="62"/>
      <c r="K921" s="63"/>
      <c r="O921" s="62"/>
      <c r="Q921" s="62"/>
    </row>
    <row r="922" ht="14.25" customHeight="1" spans="1:17" x14ac:dyDescent="0.25">
      <c r="E922" s="62"/>
      <c r="J922" s="62"/>
      <c r="K922" s="63"/>
      <c r="O922" s="62"/>
      <c r="Q922" s="62"/>
    </row>
    <row r="923" ht="14.25" customHeight="1" spans="1:17" x14ac:dyDescent="0.25">
      <c r="E923" s="62"/>
      <c r="J923" s="62"/>
      <c r="K923" s="63"/>
      <c r="O923" s="62"/>
      <c r="Q923" s="62"/>
    </row>
    <row r="924" ht="14.25" customHeight="1" spans="1:17" x14ac:dyDescent="0.25">
      <c r="E924" s="62"/>
      <c r="J924" s="62"/>
      <c r="K924" s="63"/>
      <c r="O924" s="62"/>
      <c r="Q924" s="62"/>
    </row>
    <row r="925" ht="14.25" customHeight="1" spans="1:17" x14ac:dyDescent="0.25">
      <c r="E925" s="62"/>
      <c r="J925" s="62"/>
      <c r="K925" s="63"/>
      <c r="O925" s="62"/>
      <c r="Q925" s="62"/>
    </row>
    <row r="926" ht="14.25" customHeight="1" spans="1:17" x14ac:dyDescent="0.25">
      <c r="E926" s="62"/>
      <c r="J926" s="62"/>
      <c r="K926" s="63"/>
      <c r="O926" s="62"/>
      <c r="Q926" s="62"/>
    </row>
    <row r="927" ht="14.25" customHeight="1" spans="1:17" x14ac:dyDescent="0.25">
      <c r="E927" s="62"/>
      <c r="J927" s="62"/>
      <c r="K927" s="63"/>
      <c r="O927" s="62"/>
      <c r="Q927" s="62"/>
    </row>
    <row r="928" ht="14.25" customHeight="1" spans="1:17" x14ac:dyDescent="0.25">
      <c r="E928" s="62"/>
      <c r="J928" s="62"/>
      <c r="K928" s="63"/>
      <c r="O928" s="62"/>
      <c r="Q928" s="62"/>
    </row>
    <row r="929" ht="14.25" customHeight="1" spans="1:17" x14ac:dyDescent="0.25">
      <c r="E929" s="62"/>
      <c r="J929" s="62"/>
      <c r="K929" s="63"/>
      <c r="O929" s="62"/>
      <c r="Q929" s="62"/>
    </row>
    <row r="930" ht="14.25" customHeight="1" spans="1:17" x14ac:dyDescent="0.25">
      <c r="E930" s="62"/>
      <c r="J930" s="62"/>
      <c r="K930" s="63"/>
      <c r="O930" s="62"/>
      <c r="Q930" s="62"/>
    </row>
    <row r="931" ht="14.25" customHeight="1" spans="1:17" x14ac:dyDescent="0.25">
      <c r="E931" s="62"/>
      <c r="J931" s="62"/>
      <c r="K931" s="63"/>
      <c r="O931" s="62"/>
      <c r="Q931" s="62"/>
    </row>
    <row r="932" ht="14.25" customHeight="1" spans="1:17" x14ac:dyDescent="0.25">
      <c r="E932" s="62"/>
      <c r="J932" s="62"/>
      <c r="K932" s="63"/>
      <c r="O932" s="62"/>
      <c r="Q932" s="62"/>
    </row>
    <row r="933" ht="14.25" customHeight="1" spans="1:17" x14ac:dyDescent="0.25">
      <c r="E933" s="62"/>
      <c r="J933" s="62"/>
      <c r="K933" s="63"/>
      <c r="O933" s="62"/>
      <c r="Q933" s="62"/>
    </row>
    <row r="934" ht="14.25" customHeight="1" spans="1:17" x14ac:dyDescent="0.25">
      <c r="E934" s="62"/>
      <c r="J934" s="62"/>
      <c r="K934" s="63"/>
      <c r="O934" s="62"/>
      <c r="Q934" s="62"/>
    </row>
    <row r="935" ht="14.25" customHeight="1" spans="1:17" x14ac:dyDescent="0.25">
      <c r="E935" s="62"/>
      <c r="J935" s="62"/>
      <c r="K935" s="63"/>
      <c r="O935" s="62"/>
      <c r="Q935" s="62"/>
    </row>
    <row r="936" ht="14.25" customHeight="1" spans="1:17" x14ac:dyDescent="0.25">
      <c r="E936" s="62"/>
      <c r="J936" s="62"/>
      <c r="K936" s="63"/>
      <c r="O936" s="62"/>
      <c r="Q936" s="62"/>
    </row>
    <row r="937" ht="14.25" customHeight="1" spans="1:17" x14ac:dyDescent="0.25">
      <c r="E937" s="62"/>
      <c r="J937" s="62"/>
      <c r="K937" s="63"/>
      <c r="O937" s="62"/>
      <c r="Q937" s="62"/>
    </row>
    <row r="938" ht="14.25" customHeight="1" spans="1:17" x14ac:dyDescent="0.25">
      <c r="E938" s="62"/>
      <c r="J938" s="62"/>
      <c r="K938" s="63"/>
      <c r="O938" s="62"/>
      <c r="Q938" s="62"/>
    </row>
    <row r="939" ht="14.25" customHeight="1" spans="1:17" x14ac:dyDescent="0.25">
      <c r="E939" s="62"/>
      <c r="J939" s="62"/>
      <c r="K939" s="63"/>
      <c r="O939" s="62"/>
      <c r="Q939" s="62"/>
    </row>
    <row r="940" ht="14.25" customHeight="1" spans="1:17" x14ac:dyDescent="0.25">
      <c r="E940" s="62"/>
      <c r="J940" s="62"/>
      <c r="K940" s="63"/>
      <c r="O940" s="62"/>
      <c r="Q940" s="62"/>
    </row>
    <row r="941" ht="14.25" customHeight="1" spans="1:17" x14ac:dyDescent="0.25">
      <c r="E941" s="62"/>
      <c r="J941" s="62"/>
      <c r="K941" s="63"/>
      <c r="O941" s="62"/>
      <c r="Q941" s="62"/>
    </row>
    <row r="942" ht="14.25" customHeight="1" spans="1:17" x14ac:dyDescent="0.25">
      <c r="E942" s="62"/>
      <c r="J942" s="62"/>
      <c r="K942" s="63"/>
      <c r="O942" s="62"/>
      <c r="Q942" s="62"/>
    </row>
    <row r="943" ht="14.25" customHeight="1" spans="1:17" x14ac:dyDescent="0.25">
      <c r="E943" s="62"/>
      <c r="J943" s="62"/>
      <c r="K943" s="63"/>
      <c r="O943" s="62"/>
      <c r="Q943" s="62"/>
    </row>
    <row r="944" ht="14.25" customHeight="1" spans="1:17" x14ac:dyDescent="0.25">
      <c r="E944" s="62"/>
      <c r="J944" s="62"/>
      <c r="K944" s="63"/>
      <c r="O944" s="62"/>
      <c r="Q944" s="62"/>
    </row>
    <row r="945" ht="14.25" customHeight="1" spans="1:17" x14ac:dyDescent="0.25">
      <c r="E945" s="62"/>
      <c r="J945" s="62"/>
      <c r="K945" s="63"/>
      <c r="O945" s="62"/>
      <c r="Q945" s="62"/>
    </row>
    <row r="946" ht="14.25" customHeight="1" spans="1:17" x14ac:dyDescent="0.25">
      <c r="E946" s="62"/>
      <c r="J946" s="62"/>
      <c r="K946" s="63"/>
      <c r="O946" s="62"/>
      <c r="Q946" s="62"/>
    </row>
    <row r="947" ht="14.25" customHeight="1" spans="1:17" x14ac:dyDescent="0.25">
      <c r="E947" s="62"/>
      <c r="J947" s="62"/>
      <c r="K947" s="63"/>
      <c r="O947" s="62"/>
      <c r="Q947" s="62"/>
    </row>
    <row r="948" ht="14.25" customHeight="1" spans="1:17" x14ac:dyDescent="0.25">
      <c r="E948" s="62"/>
      <c r="J948" s="62"/>
      <c r="K948" s="63"/>
      <c r="O948" s="62"/>
      <c r="Q948" s="62"/>
    </row>
    <row r="949" ht="14.25" customHeight="1" spans="1:17" x14ac:dyDescent="0.25">
      <c r="E949" s="62"/>
      <c r="J949" s="62"/>
      <c r="K949" s="63"/>
      <c r="O949" s="62"/>
      <c r="Q949" s="62"/>
    </row>
    <row r="950" ht="14.25" customHeight="1" spans="1:17" x14ac:dyDescent="0.25">
      <c r="E950" s="62"/>
      <c r="J950" s="62"/>
      <c r="K950" s="63"/>
      <c r="O950" s="62"/>
      <c r="Q950" s="62"/>
    </row>
    <row r="951" ht="14.25" customHeight="1" spans="1:17" x14ac:dyDescent="0.25">
      <c r="E951" s="62"/>
      <c r="J951" s="62"/>
      <c r="K951" s="63"/>
      <c r="O951" s="62"/>
      <c r="Q951" s="62"/>
    </row>
    <row r="952" ht="14.25" customHeight="1" spans="1:17" x14ac:dyDescent="0.25">
      <c r="E952" s="62"/>
      <c r="J952" s="62"/>
      <c r="K952" s="63"/>
      <c r="O952" s="62"/>
      <c r="Q952" s="62"/>
    </row>
    <row r="953" ht="14.25" customHeight="1" spans="1:17" x14ac:dyDescent="0.25">
      <c r="E953" s="62"/>
      <c r="J953" s="62"/>
      <c r="K953" s="63"/>
      <c r="O953" s="62"/>
      <c r="Q953" s="62"/>
    </row>
    <row r="954" ht="14.25" customHeight="1" spans="1:17" x14ac:dyDescent="0.25">
      <c r="E954" s="62"/>
      <c r="J954" s="62"/>
      <c r="K954" s="63"/>
      <c r="O954" s="62"/>
      <c r="Q954" s="62"/>
    </row>
    <row r="955" ht="14.25" customHeight="1" spans="1:17" x14ac:dyDescent="0.25">
      <c r="E955" s="62"/>
      <c r="J955" s="62"/>
      <c r="K955" s="63"/>
      <c r="O955" s="62"/>
      <c r="Q955" s="62"/>
    </row>
    <row r="956" ht="14.25" customHeight="1" spans="1:17" x14ac:dyDescent="0.25">
      <c r="E956" s="62"/>
      <c r="J956" s="62"/>
      <c r="K956" s="63"/>
      <c r="O956" s="62"/>
      <c r="Q956" s="62"/>
    </row>
    <row r="957" ht="14.25" customHeight="1" spans="1:17" x14ac:dyDescent="0.25">
      <c r="E957" s="62"/>
      <c r="J957" s="62"/>
      <c r="K957" s="63"/>
      <c r="O957" s="62"/>
      <c r="Q957" s="62"/>
    </row>
    <row r="958" ht="14.25" customHeight="1" spans="1:17" x14ac:dyDescent="0.25">
      <c r="E958" s="62"/>
      <c r="J958" s="62"/>
      <c r="K958" s="63"/>
      <c r="O958" s="62"/>
      <c r="Q958" s="62"/>
    </row>
    <row r="959" ht="14.25" customHeight="1" spans="1:17" x14ac:dyDescent="0.25">
      <c r="E959" s="62"/>
      <c r="J959" s="62"/>
      <c r="K959" s="63"/>
      <c r="O959" s="62"/>
      <c r="Q959" s="62"/>
    </row>
    <row r="960" ht="14.25" customHeight="1" spans="1:17" x14ac:dyDescent="0.25">
      <c r="E960" s="62"/>
      <c r="J960" s="62"/>
      <c r="K960" s="63"/>
      <c r="O960" s="62"/>
      <c r="Q960" s="62"/>
    </row>
    <row r="961" ht="14.25" customHeight="1" spans="1:17" x14ac:dyDescent="0.25">
      <c r="E961" s="62"/>
      <c r="J961" s="62"/>
      <c r="K961" s="63"/>
      <c r="O961" s="62"/>
      <c r="Q961" s="62"/>
    </row>
    <row r="962" ht="14.25" customHeight="1" spans="1:17" x14ac:dyDescent="0.25">
      <c r="E962" s="62"/>
      <c r="J962" s="62"/>
      <c r="K962" s="63"/>
      <c r="O962" s="62"/>
      <c r="Q962" s="62"/>
    </row>
    <row r="963" ht="14.25" customHeight="1" spans="1:17" x14ac:dyDescent="0.25">
      <c r="E963" s="62"/>
      <c r="J963" s="62"/>
      <c r="K963" s="63"/>
      <c r="O963" s="62"/>
      <c r="Q963" s="62"/>
    </row>
    <row r="964" ht="14.25" customHeight="1" spans="1:17" x14ac:dyDescent="0.25">
      <c r="E964" s="62"/>
      <c r="J964" s="62"/>
      <c r="K964" s="63"/>
      <c r="O964" s="62"/>
      <c r="Q964" s="62"/>
    </row>
    <row r="965" ht="14.25" customHeight="1" spans="1:17" x14ac:dyDescent="0.25">
      <c r="E965" s="62"/>
      <c r="J965" s="62"/>
      <c r="K965" s="63"/>
      <c r="O965" s="62"/>
      <c r="Q965" s="62"/>
    </row>
    <row r="966" ht="14.25" customHeight="1" spans="1:17" x14ac:dyDescent="0.25">
      <c r="E966" s="62"/>
      <c r="J966" s="62"/>
      <c r="K966" s="63"/>
      <c r="O966" s="62"/>
      <c r="Q966" s="62"/>
    </row>
    <row r="967" ht="14.25" customHeight="1" spans="1:17" x14ac:dyDescent="0.25">
      <c r="E967" s="62"/>
      <c r="J967" s="62"/>
      <c r="K967" s="63"/>
      <c r="O967" s="62"/>
      <c r="Q967" s="62"/>
    </row>
    <row r="968" ht="14.25" customHeight="1" spans="1:17" x14ac:dyDescent="0.25">
      <c r="E968" s="62"/>
      <c r="J968" s="62"/>
      <c r="K968" s="63"/>
      <c r="O968" s="62"/>
      <c r="Q968" s="62"/>
    </row>
    <row r="969" ht="14.25" customHeight="1" spans="1:17" x14ac:dyDescent="0.25">
      <c r="E969" s="62"/>
      <c r="J969" s="62"/>
      <c r="K969" s="63"/>
      <c r="O969" s="62"/>
      <c r="Q969" s="62"/>
    </row>
    <row r="970" ht="14.25" customHeight="1" spans="1:17" x14ac:dyDescent="0.25">
      <c r="E970" s="62"/>
      <c r="J970" s="62"/>
      <c r="K970" s="63"/>
      <c r="O970" s="62"/>
      <c r="Q970" s="62"/>
    </row>
    <row r="971" ht="14.25" customHeight="1" spans="1:17" x14ac:dyDescent="0.25">
      <c r="E971" s="62"/>
      <c r="J971" s="62"/>
      <c r="K971" s="63"/>
      <c r="O971" s="62"/>
      <c r="Q971" s="62"/>
    </row>
    <row r="972" ht="14.25" customHeight="1" spans="1:17" x14ac:dyDescent="0.25">
      <c r="E972" s="62"/>
      <c r="J972" s="62"/>
      <c r="K972" s="63"/>
      <c r="O972" s="62"/>
      <c r="Q972" s="62"/>
    </row>
    <row r="973" ht="14.25" customHeight="1" spans="1:17" x14ac:dyDescent="0.25">
      <c r="E973" s="62"/>
      <c r="J973" s="62"/>
      <c r="K973" s="63"/>
      <c r="O973" s="62"/>
      <c r="Q973" s="62"/>
    </row>
    <row r="974" ht="14.25" customHeight="1" spans="1:17" x14ac:dyDescent="0.25">
      <c r="E974" s="62"/>
      <c r="J974" s="62"/>
      <c r="K974" s="63"/>
      <c r="O974" s="62"/>
      <c r="Q974" s="62"/>
    </row>
    <row r="975" ht="14.25" customHeight="1" spans="1:17" x14ac:dyDescent="0.25">
      <c r="E975" s="62"/>
      <c r="J975" s="62"/>
      <c r="K975" s="63"/>
      <c r="O975" s="62"/>
      <c r="Q975" s="62"/>
    </row>
    <row r="976" ht="14.25" customHeight="1" spans="1:17" x14ac:dyDescent="0.25">
      <c r="E976" s="62"/>
      <c r="J976" s="62"/>
      <c r="K976" s="63"/>
      <c r="O976" s="62"/>
      <c r="Q976" s="62"/>
    </row>
    <row r="977" ht="14.25" customHeight="1" spans="1:17" x14ac:dyDescent="0.25">
      <c r="E977" s="62"/>
      <c r="J977" s="62"/>
      <c r="K977" s="63"/>
      <c r="O977" s="62"/>
      <c r="Q977" s="62"/>
    </row>
    <row r="978" ht="14.25" customHeight="1" spans="1:17" x14ac:dyDescent="0.25">
      <c r="E978" s="62"/>
      <c r="J978" s="62"/>
      <c r="K978" s="63"/>
      <c r="O978" s="62"/>
      <c r="Q978" s="62"/>
    </row>
    <row r="979" ht="14.25" customHeight="1" spans="1:17" x14ac:dyDescent="0.25">
      <c r="E979" s="62"/>
      <c r="J979" s="62"/>
      <c r="K979" s="63"/>
      <c r="O979" s="62"/>
      <c r="Q979" s="62"/>
    </row>
    <row r="980" ht="14.25" customHeight="1" spans="1:17" x14ac:dyDescent="0.25">
      <c r="E980" s="62"/>
      <c r="J980" s="62"/>
      <c r="K980" s="63"/>
      <c r="O980" s="62"/>
      <c r="Q980" s="62"/>
    </row>
    <row r="981" ht="14.25" customHeight="1" spans="1:17" x14ac:dyDescent="0.25">
      <c r="E981" s="62"/>
      <c r="J981" s="62"/>
      <c r="K981" s="63"/>
      <c r="O981" s="62"/>
      <c r="Q981" s="62"/>
    </row>
    <row r="982" ht="14.25" customHeight="1" spans="1:17" x14ac:dyDescent="0.25">
      <c r="E982" s="62"/>
      <c r="J982" s="62"/>
      <c r="K982" s="63"/>
      <c r="O982" s="62"/>
      <c r="Q982" s="62"/>
    </row>
    <row r="983" ht="14.25" customHeight="1" spans="1:17" x14ac:dyDescent="0.25">
      <c r="E983" s="62"/>
      <c r="J983" s="62"/>
      <c r="K983" s="63"/>
      <c r="O983" s="62"/>
      <c r="Q983" s="62"/>
    </row>
    <row r="984" ht="14.25" customHeight="1" spans="1:17" x14ac:dyDescent="0.25">
      <c r="E984" s="62"/>
      <c r="J984" s="62"/>
      <c r="K984" s="63"/>
      <c r="O984" s="62"/>
      <c r="Q984" s="62"/>
    </row>
    <row r="985" ht="14.25" customHeight="1" spans="1:17" x14ac:dyDescent="0.25">
      <c r="E985" s="62"/>
      <c r="J985" s="62"/>
      <c r="K985" s="63"/>
      <c r="O985" s="62"/>
      <c r="Q985" s="62"/>
    </row>
    <row r="986" ht="14.25" customHeight="1" spans="1:17" x14ac:dyDescent="0.25">
      <c r="E986" s="62"/>
      <c r="J986" s="62"/>
      <c r="K986" s="63"/>
      <c r="O986" s="62"/>
      <c r="Q986" s="62"/>
    </row>
    <row r="987" ht="14.25" customHeight="1" spans="1:17" x14ac:dyDescent="0.25">
      <c r="E987" s="62"/>
      <c r="J987" s="62"/>
      <c r="K987" s="63"/>
      <c r="O987" s="62"/>
      <c r="Q987" s="62"/>
    </row>
    <row r="988" ht="14.25" customHeight="1" spans="1:17" x14ac:dyDescent="0.25">
      <c r="E988" s="62"/>
      <c r="J988" s="62"/>
      <c r="K988" s="63"/>
      <c r="O988" s="62"/>
      <c r="Q988" s="62"/>
    </row>
    <row r="989" ht="14.25" customHeight="1" spans="1:17" x14ac:dyDescent="0.25">
      <c r="E989" s="62"/>
      <c r="J989" s="62"/>
      <c r="K989" s="63"/>
      <c r="O989" s="62"/>
      <c r="Q989" s="62"/>
    </row>
    <row r="990" ht="14.25" customHeight="1" spans="1:17" x14ac:dyDescent="0.25">
      <c r="E990" s="62"/>
      <c r="J990" s="62"/>
      <c r="K990" s="63"/>
      <c r="O990" s="62"/>
      <c r="Q990" s="62"/>
    </row>
    <row r="991" ht="14.25" customHeight="1" spans="1:17" x14ac:dyDescent="0.25">
      <c r="E991" s="62"/>
      <c r="J991" s="62"/>
      <c r="K991" s="63"/>
      <c r="O991" s="62"/>
      <c r="Q991" s="62"/>
    </row>
    <row r="992" ht="14.25" customHeight="1" spans="1:17" x14ac:dyDescent="0.25">
      <c r="E992" s="62"/>
      <c r="J992" s="62"/>
      <c r="K992" s="63"/>
      <c r="O992" s="62"/>
      <c r="Q992" s="62"/>
    </row>
    <row r="993" ht="14.25" customHeight="1" spans="1:17" x14ac:dyDescent="0.25">
      <c r="E993" s="62"/>
      <c r="J993" s="62"/>
      <c r="K993" s="63"/>
      <c r="O993" s="62"/>
      <c r="Q993" s="62"/>
    </row>
    <row r="994" ht="14.25" customHeight="1" spans="1:17" x14ac:dyDescent="0.25">
      <c r="E994" s="62"/>
      <c r="J994" s="62"/>
      <c r="K994" s="63"/>
      <c r="O994" s="62"/>
      <c r="Q994" s="62"/>
    </row>
    <row r="995" ht="14.25" customHeight="1" spans="1:17" x14ac:dyDescent="0.25">
      <c r="E995" s="62"/>
      <c r="J995" s="62"/>
      <c r="K995" s="63"/>
      <c r="O995" s="62"/>
      <c r="Q995" s="62"/>
    </row>
    <row r="996" ht="14.25" customHeight="1" spans="1:17" x14ac:dyDescent="0.25">
      <c r="E996" s="62"/>
      <c r="J996" s="62"/>
      <c r="K996" s="63"/>
      <c r="O996" s="62"/>
      <c r="Q996" s="62"/>
    </row>
    <row r="997" ht="14.25" customHeight="1" spans="1:17" x14ac:dyDescent="0.25">
      <c r="E997" s="62"/>
      <c r="J997" s="62"/>
      <c r="K997" s="63"/>
      <c r="O997" s="62"/>
      <c r="Q997" s="62"/>
    </row>
    <row r="998" ht="14.25" customHeight="1" spans="1:17" x14ac:dyDescent="0.25">
      <c r="E998" s="62"/>
      <c r="J998" s="62"/>
      <c r="K998" s="63"/>
      <c r="O998" s="62"/>
      <c r="Q998" s="62"/>
    </row>
    <row r="999" ht="14.25" customHeight="1" spans="1:17" x14ac:dyDescent="0.25">
      <c r="E999" s="62"/>
      <c r="J999" s="62"/>
      <c r="K999" s="63"/>
      <c r="O999" s="62"/>
      <c r="Q999" s="62"/>
    </row>
    <row r="1000" ht="14.25" customHeight="1" spans="1:17" x14ac:dyDescent="0.25">
      <c r="E1000" s="62"/>
      <c r="J1000" s="62"/>
      <c r="K1000" s="63"/>
      <c r="O1000" s="62"/>
      <c r="Q1000" s="6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Z1000"/>
  <sheetViews>
    <sheetView workbookViewId="0" zoomScale="100" zoomScaleNormal="100">
      <pane xSplit="3" ySplit="1" topLeftCell="D2" activePane="bottomRight" state="frozen"/>
      <selection pane="bottomRight" activeCell="D2" sqref="D2"/>
    </sheetView>
  </sheetViews>
  <sheetFormatPr defaultRowHeight="15" outlineLevelRow="0" outlineLevelCol="1" x14ac:dyDescent="0" defaultColWidth="14.43"/>
  <cols>
    <col min="1" max="1" width="6" customWidth="1"/>
    <col min="2" max="2" width="16" customWidth="1"/>
    <col min="3" max="3" width="22" customWidth="1"/>
    <col min="4" max="5" width="16" customWidth="1"/>
    <col min="6" max="6" width="32.86" customWidth="1"/>
    <col min="7" max="7" width="22" customWidth="1"/>
    <col min="8" max="8" width="18" customWidth="1"/>
    <col min="9" max="10" width="16" customWidth="1"/>
    <col min="11" max="11" width="22" customWidth="1"/>
    <col min="12" max="12" width="16.14" customWidth="1"/>
    <col min="13" max="13" width="16" customWidth="1"/>
    <col min="14" max="26" width="20" customWidth="1"/>
  </cols>
  <sheetData>
    <row r="1" ht="31.5" customHeight="1" spans="1:26" x14ac:dyDescent="0.25">
      <c r="A1" s="51" t="s">
        <v>33</v>
      </c>
      <c r="B1" s="51" t="s">
        <v>486</v>
      </c>
      <c r="C1" s="51" t="s">
        <v>487</v>
      </c>
      <c r="D1" s="51" t="s">
        <v>488</v>
      </c>
      <c r="E1" s="51" t="s">
        <v>489</v>
      </c>
      <c r="F1" s="51" t="s">
        <v>490</v>
      </c>
      <c r="G1" s="51" t="s">
        <v>491</v>
      </c>
      <c r="H1" s="51" t="s">
        <v>492</v>
      </c>
      <c r="I1" s="51" t="s">
        <v>493</v>
      </c>
      <c r="J1" s="51" t="s">
        <v>494</v>
      </c>
      <c r="K1" s="51" t="s">
        <v>132</v>
      </c>
      <c r="L1" s="51" t="s">
        <v>495</v>
      </c>
      <c r="M1" s="64" t="s">
        <v>496</v>
      </c>
      <c r="N1" s="51" t="s">
        <v>133</v>
      </c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ht="14.25" customHeight="1" spans="1:26" x14ac:dyDescent="0.25">
      <c r="A2" s="66">
        <f t="shared" ref="A2:A150" si="0">IF(B2="","",ROW()-1)</f>
        <v>1</v>
      </c>
      <c r="B2" s="66" t="s">
        <v>497</v>
      </c>
      <c r="C2" s="66" t="str">
        <f t="array" ref="C2">IF(B2="","",IFERROR(INDEX('01_UngVien_PhongVan'!$D:$D,MATCH(B2,'01_UngVien_PhongVan'!$B:$B,0)),"Không tìm thấy mã ứng viên"))</f>
        <v>Lê Thị Ngọc Quyên</v>
      </c>
      <c r="D2" s="67">
        <f t="array" ref="D2">IF(B2="","",IFERROR(INDEX('01_UngVien_PhongVan'!$AZ:$AZ,MATCH(B2,'01_UngVien_PhongVan'!$B:$B,0)),""))</f>
      </c>
      <c r="E2" s="68"/>
      <c r="F2" s="66">
        <f t="shared" ref="F2:F150" si="1">IF(D2="","",IF(E2&lt;&gt;"",IF(E2=D2,"✅ Đã nhận việc - Đúng hẹn",IF(E2&gt;D2,"⚠ Đã nhận việc - Trễ "&amp;(E2-D2)&amp;" ngày","✅ Đã nhận việc - Sớm hơn hẹn")),IF(TODAY()&gt;D2,"❌ Không đến nhận việc (quá hẹn)",IF(TODAY()=D2,"⏳ Hôm nay là ngày hẹn - Chờ xác nhận","🕓 Chưa đến ngày hẹn"))))</f>
      </c>
      <c r="G2" s="67">
        <f t="shared" ref="G2:G150" si="2">IF(E2="","",WORKDAY(E2,7))</f>
      </c>
      <c r="H2" s="61"/>
      <c r="I2" s="61"/>
      <c r="J2" s="66">
        <f t="shared" ref="J2:J150" si="3">IF(E2="","","NV"&amp;TEXT(SUMPRODUCT(($E$2:E2&lt;&gt;"")*1),"000"))</f>
      </c>
      <c r="K2" s="61"/>
      <c r="L2" s="66">
        <f>IF(D2="","",IF(AND(MONTH(D2)='04_DS_Nhan_Viec_Trong_Thang'!$C$2,YEAR(D2)='04_DS_Nhan_Viec_Trong_Thang'!$E$2),SUMPRODUCT(($D$2:D2&lt;&gt;"")*(MONTH($D$2:D2)='04_DS_Nhan_Viec_Trong_Thang'!$C$2)*(YEAR($D$2:D2)='04_DS_Nhan_Viec_Trong_Thang'!$E$2)),""))</f>
      </c>
      <c r="M2" s="65">
        <f t="shared" ref="M2:M150" si="4">IF(AND(B2&lt;&gt;"",E2&lt;&gt;""),SUMPRODUCT(($B$2:B2&lt;&gt;"")*($E$2:E2&lt;&gt;"")),"")</f>
      </c>
      <c r="N2" s="61" t="str">
        <f t="array" ref="N2">IF($B2="","",IF($J2="","Đang theo dõi",IF(OR(ISNUMBER(SEARCH("Không đủ điều kiện",IFERROR(INDEX('05_Theo_Doi_Gio_Cong_7_Ngay'!$Q:$Q,MATCH($J2,'05_Theo_Doi_Gio_Cong_7_Ngay'!$B:$B,0)),""))),ISNUMBER(SEARCH("Đủ 7 ngày nhưng",IFERROR(INDEX('05_Theo_Doi_Gio_Cong_7_Ngay'!$Q:$Q,MATCH($J2,'05_Theo_Doi_Gio_Cong_7_Ngay'!$B:$B,0)),"")))),"Đã nghỉ",IF(AND(OR(ISNUMBER(SEARCH("Đủ điều kiện",IFERROR(INDEX('05_Theo_Doi_Gio_Cong_7_Ngay'!$Q:$Q,MATCH($J2,'05_Theo_Doi_Gio_Cong_7_Ngay'!$B:$B,0)),""))),ISNUMBER(SEARCH("Đã có số thẻ",IFERROR(INDEX('05_Theo_Doi_Gio_Cong_7_Ngay'!$Q:$Q,MATCH($J2,'05_Theo_Doi_Gio_Cong_7_Ngay'!$B:$B,0)),"")))),IFERROR(INDEX('05_Theo_Doi_Gio_Cong_7_Ngay'!$R:$R,MATCH($J2,'05_Theo_Doi_Gio_Cong_7_Ngay'!$B:$B,0)),"")&lt;&gt;""),IFERROR(INDEX('06_DS_Chinh_Thuc'!$K:$K,MATCH(IFERROR(INDEX('05_Theo_Doi_Gio_Cong_7_Ngay'!$R:$R,MATCH($J2,'05_Theo_Doi_Gio_Cong_7_Ngay'!$B:$B,0)),""),'06_DS_Chinh_Thuc'!$B:$B,0)),"Đang theo dõi"),"Đang theo dõi"))))</f>
        <v>Đang theo dõi</v>
      </c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ht="14.25" customHeight="1" spans="1:26" x14ac:dyDescent="0.25">
      <c r="A3" s="66">
        <f t="shared" si="0"/>
        <v>2</v>
      </c>
      <c r="B3" s="66" t="s">
        <v>498</v>
      </c>
      <c r="C3" s="66" t="str">
        <f t="array" ref="C3">IF(B3="","",IFERROR(INDEX('01_UngVien_PhongVan'!$D:$D,MATCH(B3,'01_UngVien_PhongVan'!$B:$B,0)),"Không tìm thấy mã ứng viên"))</f>
        <v>Lâm Ngọc Bình</v>
      </c>
      <c r="D3" s="67">
        <f t="array" ref="D3">IF(B3="","",IFERROR(INDEX('01_UngVien_PhongVan'!$AZ:$AZ,MATCH(B3,'01_UngVien_PhongVan'!$B:$B,0)),""))</f>
        <v>46227</v>
      </c>
      <c r="E3" s="68">
        <v>46227</v>
      </c>
      <c r="F3" s="66" t="str">
        <f t="shared" si="1"/>
        <v>✅ Đã nhận việc - Đúng hẹn</v>
      </c>
      <c r="G3" s="67">
        <f t="shared" si="2"/>
        <v>46238</v>
      </c>
      <c r="H3" s="61" t="s">
        <v>499</v>
      </c>
      <c r="I3" s="61" t="s">
        <v>230</v>
      </c>
      <c r="J3" s="66" t="str">
        <f t="shared" si="3"/>
        <v>NV001</v>
      </c>
      <c r="K3" s="61"/>
      <c r="L3" s="66">
        <f>IF(D3="","",IF(AND(MONTH(D3)='04_DS_Nhan_Viec_Trong_Thang'!$C$2,YEAR(D3)='04_DS_Nhan_Viec_Trong_Thang'!$E$2),SUMPRODUCT(($D$2:D3&lt;&gt;"")*(MONTH($D$2:D3)='04_DS_Nhan_Viec_Trong_Thang'!$C$2)*(YEAR($D$2:D3)='04_DS_Nhan_Viec_Trong_Thang'!$E$2)),""))</f>
      </c>
      <c r="M3" s="65">
        <f t="shared" si="4"/>
        <v>1</v>
      </c>
      <c r="N3" s="61" t="str">
        <f t="array" ref="N3">IF($B3="","",IF($J3="","Đang theo dõi",IF(OR(ISNUMBER(SEARCH("Không đủ điều kiện",IFERROR(INDEX('05_Theo_Doi_Gio_Cong_7_Ngay'!$Q:$Q,MATCH($J3,'05_Theo_Doi_Gio_Cong_7_Ngay'!$B:$B,0)),""))),ISNUMBER(SEARCH("Đủ 7 ngày nhưng",IFERROR(INDEX('05_Theo_Doi_Gio_Cong_7_Ngay'!$Q:$Q,MATCH($J3,'05_Theo_Doi_Gio_Cong_7_Ngay'!$B:$B,0)),"")))),"Đã nghỉ",IF(AND(OR(ISNUMBER(SEARCH("Đủ điều kiện",IFERROR(INDEX('05_Theo_Doi_Gio_Cong_7_Ngay'!$Q:$Q,MATCH($J3,'05_Theo_Doi_Gio_Cong_7_Ngay'!$B:$B,0)),""))),ISNUMBER(SEARCH("Đã có số thẻ",IFERROR(INDEX('05_Theo_Doi_Gio_Cong_7_Ngay'!$Q:$Q,MATCH($J3,'05_Theo_Doi_Gio_Cong_7_Ngay'!$B:$B,0)),"")))),IFERROR(INDEX('05_Theo_Doi_Gio_Cong_7_Ngay'!$R:$R,MATCH($J3,'05_Theo_Doi_Gio_Cong_7_Ngay'!$B:$B,0)),"")&lt;&gt;""),IFERROR(INDEX('06_DS_Chinh_Thuc'!$K:$K,MATCH(IFERROR(INDEX('05_Theo_Doi_Gio_Cong_7_Ngay'!$R:$R,MATCH($J3,'05_Theo_Doi_Gio_Cong_7_Ngay'!$B:$B,0)),""),'06_DS_Chinh_Thuc'!$B:$B,0)),"Đang theo dõi"),"Đang theo dõi"))))</f>
        <v>Đang làm</v>
      </c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ht="14.25" customHeight="1" spans="1:26" x14ac:dyDescent="0.25">
      <c r="A4" s="66">
        <f t="shared" si="0"/>
        <v>3</v>
      </c>
      <c r="B4" s="66" t="s">
        <v>500</v>
      </c>
      <c r="C4" s="66" t="str">
        <f t="array" ref="C4">IF(B4="","",IFERROR(INDEX('01_UngVien_PhongVan'!$D:$D,MATCH(B4,'01_UngVien_PhongVan'!$B:$B,0)),"Không tìm thấy mã ứng viên"))</f>
        <v>Trần Đức Trí</v>
      </c>
      <c r="D4" s="67">
        <f t="array" ref="D4">IF(B4="","",IFERROR(INDEX('01_UngVien_PhongVan'!$AZ:$AZ,MATCH(B4,'01_UngVien_PhongVan'!$B:$B,0)),""))</f>
        <v>46226</v>
      </c>
      <c r="E4" s="68">
        <v>46226</v>
      </c>
      <c r="F4" s="66" t="str">
        <f t="shared" si="1"/>
        <v>✅ Đã nhận việc - Đúng hẹn</v>
      </c>
      <c r="G4" s="67">
        <f t="shared" si="2"/>
        <v>46237</v>
      </c>
      <c r="H4" s="61"/>
      <c r="I4" s="61"/>
      <c r="J4" s="66" t="str">
        <f t="shared" si="3"/>
        <v>NV002</v>
      </c>
      <c r="K4" s="61"/>
      <c r="L4" s="66">
        <f>IF(D4="","",IF(AND(MONTH(D4)='04_DS_Nhan_Viec_Trong_Thang'!$C$2,YEAR(D4)='04_DS_Nhan_Viec_Trong_Thang'!$E$2),SUMPRODUCT(($D$2:D4&lt;&gt;"")*(MONTH($D$2:D4)='04_DS_Nhan_Viec_Trong_Thang'!$C$2)*(YEAR($D$2:D4)='04_DS_Nhan_Viec_Trong_Thang'!$E$2)),""))</f>
      </c>
      <c r="M4" s="65">
        <f t="shared" si="4"/>
        <v>2</v>
      </c>
      <c r="N4" s="61" t="str">
        <f t="array" ref="N4">IF($B4="","",IF($J4="","Đang theo dõi",IF(OR(ISNUMBER(SEARCH("Không đủ điều kiện",IFERROR(INDEX('05_Theo_Doi_Gio_Cong_7_Ngay'!$Q:$Q,MATCH($J4,'05_Theo_Doi_Gio_Cong_7_Ngay'!$B:$B,0)),""))),ISNUMBER(SEARCH("Đủ 7 ngày nhưng",IFERROR(INDEX('05_Theo_Doi_Gio_Cong_7_Ngay'!$Q:$Q,MATCH($J4,'05_Theo_Doi_Gio_Cong_7_Ngay'!$B:$B,0)),"")))),"Đã nghỉ",IF(AND(OR(ISNUMBER(SEARCH("Đủ điều kiện",IFERROR(INDEX('05_Theo_Doi_Gio_Cong_7_Ngay'!$Q:$Q,MATCH($J4,'05_Theo_Doi_Gio_Cong_7_Ngay'!$B:$B,0)),""))),ISNUMBER(SEARCH("Đã có số thẻ",IFERROR(INDEX('05_Theo_Doi_Gio_Cong_7_Ngay'!$Q:$Q,MATCH($J4,'05_Theo_Doi_Gio_Cong_7_Ngay'!$B:$B,0)),"")))),IFERROR(INDEX('05_Theo_Doi_Gio_Cong_7_Ngay'!$R:$R,MATCH($J4,'05_Theo_Doi_Gio_Cong_7_Ngay'!$B:$B,0)),"")&lt;&gt;""),IFERROR(INDEX('06_DS_Chinh_Thuc'!$K:$K,MATCH(IFERROR(INDEX('05_Theo_Doi_Gio_Cong_7_Ngay'!$R:$R,MATCH($J4,'05_Theo_Doi_Gio_Cong_7_Ngay'!$B:$B,0)),""),'06_DS_Chinh_Thuc'!$B:$B,0)),"Đang theo dõi"),"Đang theo dõi"))))</f>
        <v>Đang làm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ht="14.25" customHeight="1" spans="1:26" x14ac:dyDescent="0.25">
      <c r="A5" s="66">
        <f t="shared" si="0"/>
        <v>4</v>
      </c>
      <c r="B5" s="66" t="s">
        <v>501</v>
      </c>
      <c r="C5" s="66" t="str">
        <f t="array" ref="C5">IF(B5="","",IFERROR(INDEX('01_UngVien_PhongVan'!$D:$D,MATCH(B5,'01_UngVien_PhongVan'!$B:$B,0)),"Không tìm thấy mã ứng viên"))</f>
        <v>Huỳnh Thị Thuý Vân</v>
      </c>
      <c r="D5" s="67">
        <f t="array" ref="D5">IF(B5="","",IFERROR(INDEX('01_UngVien_PhongVan'!$AZ:$AZ,MATCH(B5,'01_UngVien_PhongVan'!$B:$B,0)),""))</f>
      </c>
      <c r="E5" s="68"/>
      <c r="F5" s="66">
        <f t="shared" si="1"/>
      </c>
      <c r="G5" s="67">
        <f t="shared" si="2"/>
      </c>
      <c r="H5" s="61"/>
      <c r="I5" s="61"/>
      <c r="J5" s="66">
        <f t="shared" si="3"/>
      </c>
      <c r="K5" s="61"/>
      <c r="L5" s="66">
        <f>IF(D5="","",IF(AND(MONTH(D5)='04_DS_Nhan_Viec_Trong_Thang'!$C$2,YEAR(D5)='04_DS_Nhan_Viec_Trong_Thang'!$E$2),SUMPRODUCT(($D$2:D5&lt;&gt;"")*(MONTH($D$2:D5)='04_DS_Nhan_Viec_Trong_Thang'!$C$2)*(YEAR($D$2:D5)='04_DS_Nhan_Viec_Trong_Thang'!$E$2)),""))</f>
      </c>
      <c r="M5" s="65">
        <f t="shared" si="4"/>
      </c>
      <c r="N5" s="61" t="str">
        <f t="array" ref="N5">IF($B5="","",IF($J5="","Đang theo dõi",IF(OR(ISNUMBER(SEARCH("Không đủ điều kiện",IFERROR(INDEX('05_Theo_Doi_Gio_Cong_7_Ngay'!$Q:$Q,MATCH($J5,'05_Theo_Doi_Gio_Cong_7_Ngay'!$B:$B,0)),""))),ISNUMBER(SEARCH("Đủ 7 ngày nhưng",IFERROR(INDEX('05_Theo_Doi_Gio_Cong_7_Ngay'!$Q:$Q,MATCH($J5,'05_Theo_Doi_Gio_Cong_7_Ngay'!$B:$B,0)),"")))),"Đã nghỉ",IF(AND(OR(ISNUMBER(SEARCH("Đủ điều kiện",IFERROR(INDEX('05_Theo_Doi_Gio_Cong_7_Ngay'!$Q:$Q,MATCH($J5,'05_Theo_Doi_Gio_Cong_7_Ngay'!$B:$B,0)),""))),ISNUMBER(SEARCH("Đã có số thẻ",IFERROR(INDEX('05_Theo_Doi_Gio_Cong_7_Ngay'!$Q:$Q,MATCH($J5,'05_Theo_Doi_Gio_Cong_7_Ngay'!$B:$B,0)),"")))),IFERROR(INDEX('05_Theo_Doi_Gio_Cong_7_Ngay'!$R:$R,MATCH($J5,'05_Theo_Doi_Gio_Cong_7_Ngay'!$B:$B,0)),"")&lt;&gt;""),IFERROR(INDEX('06_DS_Chinh_Thuc'!$K:$K,MATCH(IFERROR(INDEX('05_Theo_Doi_Gio_Cong_7_Ngay'!$R:$R,MATCH($J5,'05_Theo_Doi_Gio_Cong_7_Ngay'!$B:$B,0)),""),'06_DS_Chinh_Thuc'!$B:$B,0)),"Đang theo dõi"),"Đang theo dõi"))))</f>
        <v>Đang theo dõi</v>
      </c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ht="14.25" customHeight="1" spans="1:26" x14ac:dyDescent="0.25">
      <c r="A6" s="66">
        <f t="shared" si="0"/>
        <v>5</v>
      </c>
      <c r="B6" s="66" t="s">
        <v>502</v>
      </c>
      <c r="C6" s="66" t="str">
        <f t="array" ref="C6">IF(B6="","",IFERROR(INDEX('01_UngVien_PhongVan'!$D:$D,MATCH(B6,'01_UngVien_PhongVan'!$B:$B,0)),"Không tìm thấy mã ứng viên"))</f>
        <v>Nguyễn Hoàng Thiện</v>
      </c>
      <c r="D6" s="67">
        <f t="array" ref="D6">IF(B6="","",IFERROR(INDEX('01_UngVien_PhongVan'!$AZ:$AZ,MATCH(B6,'01_UngVien_PhongVan'!$B:$B,0)),""))</f>
        <v>46218</v>
      </c>
      <c r="E6" s="68">
        <v>46218</v>
      </c>
      <c r="F6" s="66" t="str">
        <f t="shared" si="1"/>
        <v>✅ Đã nhận việc - Đúng hẹn</v>
      </c>
      <c r="G6" s="67">
        <f t="shared" si="2"/>
        <v>46227</v>
      </c>
      <c r="H6" s="61" t="s">
        <v>499</v>
      </c>
      <c r="I6" s="61" t="s">
        <v>230</v>
      </c>
      <c r="J6" s="66" t="str">
        <f t="shared" si="3"/>
        <v>NV003</v>
      </c>
      <c r="K6" s="61"/>
      <c r="L6" s="66">
        <f>IF(D6="","",IF(AND(MONTH(D6)='04_DS_Nhan_Viec_Trong_Thang'!$C$2,YEAR(D6)='04_DS_Nhan_Viec_Trong_Thang'!$E$2),SUMPRODUCT(($D$2:D6&lt;&gt;"")*(MONTH($D$2:D6)='04_DS_Nhan_Viec_Trong_Thang'!$C$2)*(YEAR($D$2:D6)='04_DS_Nhan_Viec_Trong_Thang'!$E$2)),""))</f>
      </c>
      <c r="M6" s="65">
        <f t="shared" si="4"/>
        <v>3</v>
      </c>
      <c r="N6" s="61" t="str">
        <f t="array" ref="N6">IF($B6="","",IF($J6="","Đang theo dõi",IF(OR(ISNUMBER(SEARCH("Không đủ điều kiện",IFERROR(INDEX('05_Theo_Doi_Gio_Cong_7_Ngay'!$Q:$Q,MATCH($J6,'05_Theo_Doi_Gio_Cong_7_Ngay'!$B:$B,0)),""))),ISNUMBER(SEARCH("Đủ 7 ngày nhưng",IFERROR(INDEX('05_Theo_Doi_Gio_Cong_7_Ngay'!$Q:$Q,MATCH($J6,'05_Theo_Doi_Gio_Cong_7_Ngay'!$B:$B,0)),"")))),"Đã nghỉ",IF(AND(OR(ISNUMBER(SEARCH("Đủ điều kiện",IFERROR(INDEX('05_Theo_Doi_Gio_Cong_7_Ngay'!$Q:$Q,MATCH($J6,'05_Theo_Doi_Gio_Cong_7_Ngay'!$B:$B,0)),""))),ISNUMBER(SEARCH("Đã có số thẻ",IFERROR(INDEX('05_Theo_Doi_Gio_Cong_7_Ngay'!$Q:$Q,MATCH($J6,'05_Theo_Doi_Gio_Cong_7_Ngay'!$B:$B,0)),"")))),IFERROR(INDEX('05_Theo_Doi_Gio_Cong_7_Ngay'!$R:$R,MATCH($J6,'05_Theo_Doi_Gio_Cong_7_Ngay'!$B:$B,0)),"")&lt;&gt;""),IFERROR(INDEX('06_DS_Chinh_Thuc'!$K:$K,MATCH(IFERROR(INDEX('05_Theo_Doi_Gio_Cong_7_Ngay'!$R:$R,MATCH($J6,'05_Theo_Doi_Gio_Cong_7_Ngay'!$B:$B,0)),""),'06_DS_Chinh_Thuc'!$B:$B,0)),"Đang theo dõi"),"Đang theo dõi"))))</f>
        <v>Đang làm</v>
      </c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ht="14.25" customHeight="1" spans="1:26" x14ac:dyDescent="0.25">
      <c r="A7" s="66">
        <f t="shared" si="0"/>
        <v>6</v>
      </c>
      <c r="B7" s="66" t="s">
        <v>503</v>
      </c>
      <c r="C7" s="66" t="str">
        <f t="array" ref="C7">IF(B7="","",IFERROR(INDEX('01_UngVien_PhongVan'!$D:$D,MATCH(B7,'01_UngVien_PhongVan'!$B:$B,0)),"Không tìm thấy mã ứng viên"))</f>
        <v>Võ Quốc Kiệt</v>
      </c>
      <c r="D7" s="67">
        <f t="array" ref="D7">IF(B7="","",IFERROR(INDEX('01_UngVien_PhongVan'!$AZ:$AZ,MATCH(B7,'01_UngVien_PhongVan'!$B:$B,0)),""))</f>
        <v>46218</v>
      </c>
      <c r="E7" s="68">
        <v>46218</v>
      </c>
      <c r="F7" s="66" t="str">
        <f t="shared" si="1"/>
        <v>✅ Đã nhận việc - Đúng hẹn</v>
      </c>
      <c r="G7" s="67">
        <f t="shared" si="2"/>
        <v>46227</v>
      </c>
      <c r="H7" s="61" t="s">
        <v>499</v>
      </c>
      <c r="I7" s="61" t="s">
        <v>230</v>
      </c>
      <c r="J7" s="66" t="str">
        <f t="shared" si="3"/>
        <v>NV004</v>
      </c>
      <c r="K7" s="61"/>
      <c r="L7" s="66">
        <f>IF(D7="","",IF(AND(MONTH(D7)='04_DS_Nhan_Viec_Trong_Thang'!$C$2,YEAR(D7)='04_DS_Nhan_Viec_Trong_Thang'!$E$2),SUMPRODUCT(($D$2:D7&lt;&gt;"")*(MONTH($D$2:D7)='04_DS_Nhan_Viec_Trong_Thang'!$C$2)*(YEAR($D$2:D7)='04_DS_Nhan_Viec_Trong_Thang'!$E$2)),""))</f>
      </c>
      <c r="M7" s="65">
        <f t="shared" si="4"/>
        <v>4</v>
      </c>
      <c r="N7" s="61" t="str">
        <f t="array" ref="N7">IF($B7="","",IF($J7="","Đang theo dõi",IF(OR(ISNUMBER(SEARCH("Không đủ điều kiện",IFERROR(INDEX('05_Theo_Doi_Gio_Cong_7_Ngay'!$Q:$Q,MATCH($J7,'05_Theo_Doi_Gio_Cong_7_Ngay'!$B:$B,0)),""))),ISNUMBER(SEARCH("Đủ 7 ngày nhưng",IFERROR(INDEX('05_Theo_Doi_Gio_Cong_7_Ngay'!$Q:$Q,MATCH($J7,'05_Theo_Doi_Gio_Cong_7_Ngay'!$B:$B,0)),"")))),"Đã nghỉ",IF(AND(OR(ISNUMBER(SEARCH("Đủ điều kiện",IFERROR(INDEX('05_Theo_Doi_Gio_Cong_7_Ngay'!$Q:$Q,MATCH($J7,'05_Theo_Doi_Gio_Cong_7_Ngay'!$B:$B,0)),""))),ISNUMBER(SEARCH("Đã có số thẻ",IFERROR(INDEX('05_Theo_Doi_Gio_Cong_7_Ngay'!$Q:$Q,MATCH($J7,'05_Theo_Doi_Gio_Cong_7_Ngay'!$B:$B,0)),"")))),IFERROR(INDEX('05_Theo_Doi_Gio_Cong_7_Ngay'!$R:$R,MATCH($J7,'05_Theo_Doi_Gio_Cong_7_Ngay'!$B:$B,0)),"")&lt;&gt;""),IFERROR(INDEX('06_DS_Chinh_Thuc'!$K:$K,MATCH(IFERROR(INDEX('05_Theo_Doi_Gio_Cong_7_Ngay'!$R:$R,MATCH($J7,'05_Theo_Doi_Gio_Cong_7_Ngay'!$B:$B,0)),""),'06_DS_Chinh_Thuc'!$B:$B,0)),"Đang theo dõi"),"Đang theo dõi"))))</f>
        <v>Đang làm</v>
      </c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ht="14.25" customHeight="1" spans="1:26" x14ac:dyDescent="0.25">
      <c r="A8" s="66">
        <f t="shared" si="0"/>
        <v>7</v>
      </c>
      <c r="B8" s="66" t="s">
        <v>504</v>
      </c>
      <c r="C8" s="66" t="str">
        <f t="array" ref="C8">IF(B8="","",IFERROR(INDEX('01_UngVien_PhongVan'!$D:$D,MATCH(B8,'01_UngVien_PhongVan'!$B:$B,0)),"Không tìm thấy mã ứng viên"))</f>
        <v>Trần Thị Thuý</v>
      </c>
      <c r="D8" s="67">
        <f t="array" ref="D8">IF(B8="","",IFERROR(INDEX('01_UngVien_PhongVan'!$AZ:$AZ,MATCH(B8,'01_UngVien_PhongVan'!$B:$B,0)),""))</f>
      </c>
      <c r="E8" s="68"/>
      <c r="F8" s="66">
        <f t="shared" si="1"/>
      </c>
      <c r="G8" s="67">
        <f t="shared" si="2"/>
      </c>
      <c r="H8" s="61"/>
      <c r="I8" s="61"/>
      <c r="J8" s="66">
        <f t="shared" si="3"/>
      </c>
      <c r="K8" s="61"/>
      <c r="L8" s="66">
        <f>IF(D8="","",IF(AND(MONTH(D8)='04_DS_Nhan_Viec_Trong_Thang'!$C$2,YEAR(D8)='04_DS_Nhan_Viec_Trong_Thang'!$E$2),SUMPRODUCT(($D$2:D8&lt;&gt;"")*(MONTH($D$2:D8)='04_DS_Nhan_Viec_Trong_Thang'!$C$2)*(YEAR($D$2:D8)='04_DS_Nhan_Viec_Trong_Thang'!$E$2)),""))</f>
      </c>
      <c r="M8" s="65">
        <f t="shared" si="4"/>
      </c>
      <c r="N8" s="61" t="str">
        <f t="array" ref="N8">IF($B8="","",IF($J8="","Đang theo dõi",IF(OR(ISNUMBER(SEARCH("Không đủ điều kiện",IFERROR(INDEX('05_Theo_Doi_Gio_Cong_7_Ngay'!$Q:$Q,MATCH($J8,'05_Theo_Doi_Gio_Cong_7_Ngay'!$B:$B,0)),""))),ISNUMBER(SEARCH("Đủ 7 ngày nhưng",IFERROR(INDEX('05_Theo_Doi_Gio_Cong_7_Ngay'!$Q:$Q,MATCH($J8,'05_Theo_Doi_Gio_Cong_7_Ngay'!$B:$B,0)),"")))),"Đã nghỉ",IF(AND(OR(ISNUMBER(SEARCH("Đủ điều kiện",IFERROR(INDEX('05_Theo_Doi_Gio_Cong_7_Ngay'!$Q:$Q,MATCH($J8,'05_Theo_Doi_Gio_Cong_7_Ngay'!$B:$B,0)),""))),ISNUMBER(SEARCH("Đã có số thẻ",IFERROR(INDEX('05_Theo_Doi_Gio_Cong_7_Ngay'!$Q:$Q,MATCH($J8,'05_Theo_Doi_Gio_Cong_7_Ngay'!$B:$B,0)),"")))),IFERROR(INDEX('05_Theo_Doi_Gio_Cong_7_Ngay'!$R:$R,MATCH($J8,'05_Theo_Doi_Gio_Cong_7_Ngay'!$B:$B,0)),"")&lt;&gt;""),IFERROR(INDEX('06_DS_Chinh_Thuc'!$K:$K,MATCH(IFERROR(INDEX('05_Theo_Doi_Gio_Cong_7_Ngay'!$R:$R,MATCH($J8,'05_Theo_Doi_Gio_Cong_7_Ngay'!$B:$B,0)),""),'06_DS_Chinh_Thuc'!$B:$B,0)),"Đang theo dõi"),"Đang theo dõi"))))</f>
        <v>Đang theo dõi</v>
      </c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ht="14.25" customHeight="1" spans="1:26" x14ac:dyDescent="0.25">
      <c r="A9" s="66">
        <f t="shared" si="0"/>
        <v>8</v>
      </c>
      <c r="B9" s="66" t="s">
        <v>505</v>
      </c>
      <c r="C9" s="66" t="str">
        <f t="array" ref="C9">IF(B9="","",IFERROR(INDEX('01_UngVien_PhongVan'!$D:$D,MATCH(B9,'01_UngVien_PhongVan'!$B:$B,0)),"Không tìm thấy mã ứng viên"))</f>
        <v>Nguyễn Thị Thuý</v>
      </c>
      <c r="D9" s="67">
        <f t="array" ref="D9">IF(B9="","",IFERROR(INDEX('01_UngVien_PhongVan'!$AZ:$AZ,MATCH(B9,'01_UngVien_PhongVan'!$B:$B,0)),""))</f>
        <v>46211</v>
      </c>
      <c r="E9" s="68">
        <v>46211</v>
      </c>
      <c r="F9" s="66" t="str">
        <f t="shared" si="1"/>
        <v>✅ Đã nhận việc - Đúng hẹn</v>
      </c>
      <c r="G9" s="67">
        <f t="shared" si="2"/>
        <v>46220</v>
      </c>
      <c r="H9" s="61"/>
      <c r="I9" s="61"/>
      <c r="J9" s="66" t="str">
        <f t="shared" si="3"/>
        <v>NV005</v>
      </c>
      <c r="K9" s="61"/>
      <c r="L9" s="66">
        <f>IF(D9="","",IF(AND(MONTH(D9)='04_DS_Nhan_Viec_Trong_Thang'!$C$2,YEAR(D9)='04_DS_Nhan_Viec_Trong_Thang'!$E$2),SUMPRODUCT(($D$2:D9&lt;&gt;"")*(MONTH($D$2:D9)='04_DS_Nhan_Viec_Trong_Thang'!$C$2)*(YEAR($D$2:D9)='04_DS_Nhan_Viec_Trong_Thang'!$E$2)),""))</f>
      </c>
      <c r="M9" s="65">
        <f t="shared" si="4"/>
        <v>5</v>
      </c>
      <c r="N9" s="61" t="str">
        <f t="array" ref="N9">IF($B9="","",IF($J9="","Đang theo dõi",IF(OR(ISNUMBER(SEARCH("Không đủ điều kiện",IFERROR(INDEX('05_Theo_Doi_Gio_Cong_7_Ngay'!$Q:$Q,MATCH($J9,'05_Theo_Doi_Gio_Cong_7_Ngay'!$B:$B,0)),""))),ISNUMBER(SEARCH("Đủ 7 ngày nhưng",IFERROR(INDEX('05_Theo_Doi_Gio_Cong_7_Ngay'!$Q:$Q,MATCH($J9,'05_Theo_Doi_Gio_Cong_7_Ngay'!$B:$B,0)),"")))),"Đã nghỉ",IF(AND(OR(ISNUMBER(SEARCH("Đủ điều kiện",IFERROR(INDEX('05_Theo_Doi_Gio_Cong_7_Ngay'!$Q:$Q,MATCH($J9,'05_Theo_Doi_Gio_Cong_7_Ngay'!$B:$B,0)),""))),ISNUMBER(SEARCH("Đã có số thẻ",IFERROR(INDEX('05_Theo_Doi_Gio_Cong_7_Ngay'!$Q:$Q,MATCH($J9,'05_Theo_Doi_Gio_Cong_7_Ngay'!$B:$B,0)),"")))),IFERROR(INDEX('05_Theo_Doi_Gio_Cong_7_Ngay'!$R:$R,MATCH($J9,'05_Theo_Doi_Gio_Cong_7_Ngay'!$B:$B,0)),"")&lt;&gt;""),IFERROR(INDEX('06_DS_Chinh_Thuc'!$K:$K,MATCH(IFERROR(INDEX('05_Theo_Doi_Gio_Cong_7_Ngay'!$R:$R,MATCH($J9,'05_Theo_Doi_Gio_Cong_7_Ngay'!$B:$B,0)),""),'06_DS_Chinh_Thuc'!$B:$B,0)),"Đang theo dõi"),"Đang theo dõi"))))</f>
        <v>Đang làm</v>
      </c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ht="14.25" customHeight="1" spans="1:26" x14ac:dyDescent="0.25">
      <c r="A10" s="66">
        <f t="shared" si="0"/>
        <v>9</v>
      </c>
      <c r="B10" s="66" t="s">
        <v>506</v>
      </c>
      <c r="C10" s="66" t="str">
        <f t="array" ref="C10">IF(B10="","",IFERROR(INDEX('01_UngVien_PhongVan'!$D:$D,MATCH(B10,'01_UngVien_PhongVan'!$B:$B,0)),"Không tìm thấy mã ứng viên"))</f>
        <v>Bùi Thị Phương Anh</v>
      </c>
      <c r="D10" s="67">
        <f t="array" ref="D10">IF(B10="","",IFERROR(INDEX('01_UngVien_PhongVan'!$AZ:$AZ,MATCH(B10,'01_UngVien_PhongVan'!$B:$B,0)),""))</f>
        <v>46206</v>
      </c>
      <c r="E10" s="68">
        <v>46206</v>
      </c>
      <c r="F10" s="66" t="str">
        <f t="shared" si="1"/>
        <v>✅ Đã nhận việc - Đúng hẹn</v>
      </c>
      <c r="G10" s="67">
        <f t="shared" si="2"/>
        <v>46217</v>
      </c>
      <c r="H10" s="61"/>
      <c r="I10" s="61"/>
      <c r="J10" s="66" t="str">
        <f t="shared" si="3"/>
        <v>NV006</v>
      </c>
      <c r="K10" s="61"/>
      <c r="L10" s="66">
        <f>IF(D10="","",IF(AND(MONTH(D10)='04_DS_Nhan_Viec_Trong_Thang'!$C$2,YEAR(D10)='04_DS_Nhan_Viec_Trong_Thang'!$E$2),SUMPRODUCT(($D$2:D10&lt;&gt;"")*(MONTH($D$2:D10)='04_DS_Nhan_Viec_Trong_Thang'!$C$2)*(YEAR($D$2:D10)='04_DS_Nhan_Viec_Trong_Thang'!$E$2)),""))</f>
      </c>
      <c r="M10" s="65">
        <f t="shared" si="4"/>
        <v>6</v>
      </c>
      <c r="N10" s="61" t="str">
        <f t="array" ref="N10">IF($B10="","",IF($J10="","Đang theo dõi",IF(OR(ISNUMBER(SEARCH("Không đủ điều kiện",IFERROR(INDEX('05_Theo_Doi_Gio_Cong_7_Ngay'!$Q:$Q,MATCH($J10,'05_Theo_Doi_Gio_Cong_7_Ngay'!$B:$B,0)),""))),ISNUMBER(SEARCH("Đủ 7 ngày nhưng",IFERROR(INDEX('05_Theo_Doi_Gio_Cong_7_Ngay'!$Q:$Q,MATCH($J10,'05_Theo_Doi_Gio_Cong_7_Ngay'!$B:$B,0)),"")))),"Đã nghỉ",IF(AND(OR(ISNUMBER(SEARCH("Đủ điều kiện",IFERROR(INDEX('05_Theo_Doi_Gio_Cong_7_Ngay'!$Q:$Q,MATCH($J10,'05_Theo_Doi_Gio_Cong_7_Ngay'!$B:$B,0)),""))),ISNUMBER(SEARCH("Đã có số thẻ",IFERROR(INDEX('05_Theo_Doi_Gio_Cong_7_Ngay'!$Q:$Q,MATCH($J10,'05_Theo_Doi_Gio_Cong_7_Ngay'!$B:$B,0)),"")))),IFERROR(INDEX('05_Theo_Doi_Gio_Cong_7_Ngay'!$R:$R,MATCH($J10,'05_Theo_Doi_Gio_Cong_7_Ngay'!$B:$B,0)),"")&lt;&gt;""),IFERROR(INDEX('06_DS_Chinh_Thuc'!$K:$K,MATCH(IFERROR(INDEX('05_Theo_Doi_Gio_Cong_7_Ngay'!$R:$R,MATCH($J10,'05_Theo_Doi_Gio_Cong_7_Ngay'!$B:$B,0)),""),'06_DS_Chinh_Thuc'!$B:$B,0)),"Đang theo dõi"),"Đang theo dõi"))))</f>
        <v>Đã nghỉ</v>
      </c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ht="14.25" customHeight="1" spans="1:26" x14ac:dyDescent="0.25">
      <c r="A11" s="66">
        <f t="shared" si="0"/>
        <v>10</v>
      </c>
      <c r="B11" s="66" t="s">
        <v>507</v>
      </c>
      <c r="C11" s="66" t="str">
        <f t="array" ref="C11">IF(B11="","",IFERROR(INDEX('01_UngVien_PhongVan'!$D:$D,MATCH(B11,'01_UngVien_PhongVan'!$B:$B,0)),"Không tìm thấy mã ứng viên"))</f>
        <v>Lương Thị Thắm</v>
      </c>
      <c r="D11" s="67">
        <f t="array" ref="D11">IF(B11="","",IFERROR(INDEX('01_UngVien_PhongVan'!$AZ:$AZ,MATCH(B11,'01_UngVien_PhongVan'!$B:$B,0)),""))</f>
        <v>46205</v>
      </c>
      <c r="E11" s="68">
        <v>46205</v>
      </c>
      <c r="F11" s="66" t="str">
        <f t="shared" si="1"/>
        <v>✅ Đã nhận việc - Đúng hẹn</v>
      </c>
      <c r="G11" s="67">
        <f t="shared" si="2"/>
        <v>46216</v>
      </c>
      <c r="H11" s="61"/>
      <c r="I11" s="61"/>
      <c r="J11" s="66" t="str">
        <f t="shared" si="3"/>
        <v>NV007</v>
      </c>
      <c r="K11" s="61"/>
      <c r="L11" s="66">
        <f>IF(D11="","",IF(AND(MONTH(D11)='04_DS_Nhan_Viec_Trong_Thang'!$C$2,YEAR(D11)='04_DS_Nhan_Viec_Trong_Thang'!$E$2),SUMPRODUCT(($D$2:D11&lt;&gt;"")*(MONTH($D$2:D11)='04_DS_Nhan_Viec_Trong_Thang'!$C$2)*(YEAR($D$2:D11)='04_DS_Nhan_Viec_Trong_Thang'!$E$2)),""))</f>
      </c>
      <c r="M11" s="65">
        <f t="shared" si="4"/>
        <v>7</v>
      </c>
      <c r="N11" s="61" t="str">
        <f t="array" ref="N11">IF($B11="","",IF($J11="","Đang theo dõi",IF(OR(ISNUMBER(SEARCH("Không đủ điều kiện",IFERROR(INDEX('05_Theo_Doi_Gio_Cong_7_Ngay'!$Q:$Q,MATCH($J11,'05_Theo_Doi_Gio_Cong_7_Ngay'!$B:$B,0)),""))),ISNUMBER(SEARCH("Đủ 7 ngày nhưng",IFERROR(INDEX('05_Theo_Doi_Gio_Cong_7_Ngay'!$Q:$Q,MATCH($J11,'05_Theo_Doi_Gio_Cong_7_Ngay'!$B:$B,0)),"")))),"Đã nghỉ",IF(AND(OR(ISNUMBER(SEARCH("Đủ điều kiện",IFERROR(INDEX('05_Theo_Doi_Gio_Cong_7_Ngay'!$Q:$Q,MATCH($J11,'05_Theo_Doi_Gio_Cong_7_Ngay'!$B:$B,0)),""))),ISNUMBER(SEARCH("Đã có số thẻ",IFERROR(INDEX('05_Theo_Doi_Gio_Cong_7_Ngay'!$Q:$Q,MATCH($J11,'05_Theo_Doi_Gio_Cong_7_Ngay'!$B:$B,0)),"")))),IFERROR(INDEX('05_Theo_Doi_Gio_Cong_7_Ngay'!$R:$R,MATCH($J11,'05_Theo_Doi_Gio_Cong_7_Ngay'!$B:$B,0)),"")&lt;&gt;""),IFERROR(INDEX('06_DS_Chinh_Thuc'!$K:$K,MATCH(IFERROR(INDEX('05_Theo_Doi_Gio_Cong_7_Ngay'!$R:$R,MATCH($J11,'05_Theo_Doi_Gio_Cong_7_Ngay'!$B:$B,0)),""),'06_DS_Chinh_Thuc'!$B:$B,0)),"Đang theo dõi"),"Đang theo dõi"))))</f>
        <v>Đang theo dõi</v>
      </c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ht="14.25" customHeight="1" spans="1:26" x14ac:dyDescent="0.25">
      <c r="A12" s="66">
        <f t="shared" si="0"/>
        <v>11</v>
      </c>
      <c r="B12" s="66" t="s">
        <v>508</v>
      </c>
      <c r="C12" s="66" t="str">
        <f t="array" ref="C12">IF(B12="","",IFERROR(INDEX('01_UngVien_PhongVan'!$D:$D,MATCH(B12,'01_UngVien_PhongVan'!$B:$B,0)),"Không tìm thấy mã ứng viên"))</f>
        <v>Cao Thị Thu Phương</v>
      </c>
      <c r="D12" s="67">
        <f t="array" ref="D12">IF(B12="","",IFERROR(INDEX('01_UngVien_PhongVan'!$AZ:$AZ,MATCH(B12,'01_UngVien_PhongVan'!$B:$B,0)),""))</f>
        <v>46244</v>
      </c>
      <c r="E12" s="68">
        <v>46244</v>
      </c>
      <c r="F12" s="66" t="str">
        <f t="shared" si="1"/>
        <v>✅ Đã nhận việc - Đúng hẹn</v>
      </c>
      <c r="G12" s="67">
        <f t="shared" si="2"/>
        <v>46253</v>
      </c>
      <c r="H12" s="61" t="s">
        <v>363</v>
      </c>
      <c r="I12" s="61" t="s">
        <v>167</v>
      </c>
      <c r="J12" s="66" t="str">
        <f t="shared" si="3"/>
        <v>NV008</v>
      </c>
      <c r="K12" s="61"/>
      <c r="L12" s="66">
        <f>IF(D12="","",IF(AND(MONTH(D12)='04_DS_Nhan_Viec_Trong_Thang'!$C$2,YEAR(D12)='04_DS_Nhan_Viec_Trong_Thang'!$E$2),SUMPRODUCT(($D$2:D12&lt;&gt;"")*(MONTH($D$2:D12)='04_DS_Nhan_Viec_Trong_Thang'!$C$2)*(YEAR($D$2:D12)='04_DS_Nhan_Viec_Trong_Thang'!$E$2)),""))</f>
      </c>
      <c r="M12" s="65">
        <f t="shared" si="4"/>
        <v>8</v>
      </c>
      <c r="N12" s="61" t="str">
        <f t="array" ref="N12">IF($B12="","",IF($J12="","Đang theo dõi",IF(OR(ISNUMBER(SEARCH("Không đủ điều kiện",IFERROR(INDEX('05_Theo_Doi_Gio_Cong_7_Ngay'!$Q:$Q,MATCH($J12,'05_Theo_Doi_Gio_Cong_7_Ngay'!$B:$B,0)),""))),ISNUMBER(SEARCH("Đủ 7 ngày nhưng",IFERROR(INDEX('05_Theo_Doi_Gio_Cong_7_Ngay'!$Q:$Q,MATCH($J12,'05_Theo_Doi_Gio_Cong_7_Ngay'!$B:$B,0)),"")))),"Đã nghỉ",IF(AND(OR(ISNUMBER(SEARCH("Đủ điều kiện",IFERROR(INDEX('05_Theo_Doi_Gio_Cong_7_Ngay'!$Q:$Q,MATCH($J12,'05_Theo_Doi_Gio_Cong_7_Ngay'!$B:$B,0)),""))),ISNUMBER(SEARCH("Đã có số thẻ",IFERROR(INDEX('05_Theo_Doi_Gio_Cong_7_Ngay'!$Q:$Q,MATCH($J12,'05_Theo_Doi_Gio_Cong_7_Ngay'!$B:$B,0)),"")))),IFERROR(INDEX('05_Theo_Doi_Gio_Cong_7_Ngay'!$R:$R,MATCH($J12,'05_Theo_Doi_Gio_Cong_7_Ngay'!$B:$B,0)),"")&lt;&gt;""),IFERROR(INDEX('06_DS_Chinh_Thuc'!$K:$K,MATCH(IFERROR(INDEX('05_Theo_Doi_Gio_Cong_7_Ngay'!$R:$R,MATCH($J12,'05_Theo_Doi_Gio_Cong_7_Ngay'!$B:$B,0)),""),'06_DS_Chinh_Thuc'!$B:$B,0)),"Đang theo dõi"),"Đang theo dõi"))))</f>
        <v>Đã nghỉ</v>
      </c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ht="14.25" customHeight="1" spans="1:26" x14ac:dyDescent="0.25">
      <c r="A13" s="66">
        <f t="shared" si="0"/>
        <v>12</v>
      </c>
      <c r="B13" s="66" t="s">
        <v>509</v>
      </c>
      <c r="C13" s="66" t="str">
        <f t="array" ref="C13">IF(B13="","",IFERROR(INDEX('01_UngVien_PhongVan'!$D:$D,MATCH(B13,'01_UngVien_PhongVan'!$B:$B,0)),"Không tìm thấy mã ứng viên"))</f>
        <v>Lâm Hữu An</v>
      </c>
      <c r="D13" s="67">
        <f t="array" ref="D13">IF(B13="","",IFERROR(INDEX('01_UngVien_PhongVan'!$AZ:$AZ,MATCH(B13,'01_UngVien_PhongVan'!$B:$B,0)),""))</f>
        <v>46248</v>
      </c>
      <c r="E13" s="68">
        <v>46248</v>
      </c>
      <c r="F13" s="66" t="str">
        <f t="shared" si="1"/>
        <v>✅ Đã nhận việc - Đúng hẹn</v>
      </c>
      <c r="G13" s="67">
        <f t="shared" si="2"/>
        <v>46259</v>
      </c>
      <c r="H13" s="61" t="s">
        <v>14</v>
      </c>
      <c r="I13" s="61" t="s">
        <v>167</v>
      </c>
      <c r="J13" s="66" t="str">
        <f t="shared" si="3"/>
        <v>NV009</v>
      </c>
      <c r="K13" s="61"/>
      <c r="L13" s="66">
        <f>IF(D13="","",IF(AND(MONTH(D13)='04_DS_Nhan_Viec_Trong_Thang'!$C$2,YEAR(D13)='04_DS_Nhan_Viec_Trong_Thang'!$E$2),SUMPRODUCT(($D$2:D13&lt;&gt;"")*(MONTH($D$2:D13)='04_DS_Nhan_Viec_Trong_Thang'!$C$2)*(YEAR($D$2:D13)='04_DS_Nhan_Viec_Trong_Thang'!$E$2)),""))</f>
      </c>
      <c r="M13" s="65">
        <f t="shared" si="4"/>
        <v>9</v>
      </c>
      <c r="N13" s="61" t="str">
        <f t="array" ref="N13">IF($B13="","",IF($J13="","Đang theo dõi",IF(OR(ISNUMBER(SEARCH("Không đủ điều kiện",IFERROR(INDEX('05_Theo_Doi_Gio_Cong_7_Ngay'!$Q:$Q,MATCH($J13,'05_Theo_Doi_Gio_Cong_7_Ngay'!$B:$B,0)),""))),ISNUMBER(SEARCH("Đủ 7 ngày nhưng",IFERROR(INDEX('05_Theo_Doi_Gio_Cong_7_Ngay'!$Q:$Q,MATCH($J13,'05_Theo_Doi_Gio_Cong_7_Ngay'!$B:$B,0)),"")))),"Đã nghỉ",IF(AND(OR(ISNUMBER(SEARCH("Đủ điều kiện",IFERROR(INDEX('05_Theo_Doi_Gio_Cong_7_Ngay'!$Q:$Q,MATCH($J13,'05_Theo_Doi_Gio_Cong_7_Ngay'!$B:$B,0)),""))),ISNUMBER(SEARCH("Đã có số thẻ",IFERROR(INDEX('05_Theo_Doi_Gio_Cong_7_Ngay'!$Q:$Q,MATCH($J13,'05_Theo_Doi_Gio_Cong_7_Ngay'!$B:$B,0)),"")))),IFERROR(INDEX('05_Theo_Doi_Gio_Cong_7_Ngay'!$R:$R,MATCH($J13,'05_Theo_Doi_Gio_Cong_7_Ngay'!$B:$B,0)),"")&lt;&gt;""),IFERROR(INDEX('06_DS_Chinh_Thuc'!$K:$K,MATCH(IFERROR(INDEX('05_Theo_Doi_Gio_Cong_7_Ngay'!$R:$R,MATCH($J13,'05_Theo_Doi_Gio_Cong_7_Ngay'!$B:$B,0)),""),'06_DS_Chinh_Thuc'!$B:$B,0)),"Đang theo dõi"),"Đang theo dõi"))))</f>
        <v>Đang làm</v>
      </c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ht="14.25" customHeight="1" spans="1:26" x14ac:dyDescent="0.25">
      <c r="A14" s="66">
        <f t="shared" si="0"/>
        <v>13</v>
      </c>
      <c r="B14" s="66" t="s">
        <v>510</v>
      </c>
      <c r="C14" s="66" t="str">
        <f t="array" ref="C14">IF(B14="","",IFERROR(INDEX('01_UngVien_PhongVan'!$D:$D,MATCH(B14,'01_UngVien_PhongVan'!$B:$B,0)),"Không tìm thấy mã ứng viên"))</f>
        <v>Trần Ngọc Bảo Trân</v>
      </c>
      <c r="D14" s="67">
        <f t="array" ref="D14">IF(B14="","",IFERROR(INDEX('01_UngVien_PhongVan'!$AZ:$AZ,MATCH(B14,'01_UngVien_PhongVan'!$B:$B,0)),""))</f>
        <v>46244</v>
      </c>
      <c r="E14" s="68">
        <v>46244</v>
      </c>
      <c r="F14" s="66" t="str">
        <f t="shared" si="1"/>
        <v>✅ Đã nhận việc - Đúng hẹn</v>
      </c>
      <c r="G14" s="67">
        <f t="shared" si="2"/>
        <v>46253</v>
      </c>
      <c r="H14" s="61"/>
      <c r="I14" s="61"/>
      <c r="J14" s="66" t="str">
        <f t="shared" si="3"/>
        <v>NV010</v>
      </c>
      <c r="K14" s="61"/>
      <c r="L14" s="66">
        <f>IF(D14="","",IF(AND(MONTH(D14)='04_DS_Nhan_Viec_Trong_Thang'!$C$2,YEAR(D14)='04_DS_Nhan_Viec_Trong_Thang'!$E$2),SUMPRODUCT(($D$2:D14&lt;&gt;"")*(MONTH($D$2:D14)='04_DS_Nhan_Viec_Trong_Thang'!$C$2)*(YEAR($D$2:D14)='04_DS_Nhan_Viec_Trong_Thang'!$E$2)),""))</f>
      </c>
      <c r="M14" s="65">
        <f t="shared" si="4"/>
        <v>10</v>
      </c>
      <c r="N14" s="61" t="str">
        <f t="array" ref="N14">IF($B14="","",IF($J14="","Đang theo dõi",IF(OR(ISNUMBER(SEARCH("Không đủ điều kiện",IFERROR(INDEX('05_Theo_Doi_Gio_Cong_7_Ngay'!$Q:$Q,MATCH($J14,'05_Theo_Doi_Gio_Cong_7_Ngay'!$B:$B,0)),""))),ISNUMBER(SEARCH("Đủ 7 ngày nhưng",IFERROR(INDEX('05_Theo_Doi_Gio_Cong_7_Ngay'!$Q:$Q,MATCH($J14,'05_Theo_Doi_Gio_Cong_7_Ngay'!$B:$B,0)),"")))),"Đã nghỉ",IF(AND(OR(ISNUMBER(SEARCH("Đủ điều kiện",IFERROR(INDEX('05_Theo_Doi_Gio_Cong_7_Ngay'!$Q:$Q,MATCH($J14,'05_Theo_Doi_Gio_Cong_7_Ngay'!$B:$B,0)),""))),ISNUMBER(SEARCH("Đã có số thẻ",IFERROR(INDEX('05_Theo_Doi_Gio_Cong_7_Ngay'!$Q:$Q,MATCH($J14,'05_Theo_Doi_Gio_Cong_7_Ngay'!$B:$B,0)),"")))),IFERROR(INDEX('05_Theo_Doi_Gio_Cong_7_Ngay'!$R:$R,MATCH($J14,'05_Theo_Doi_Gio_Cong_7_Ngay'!$B:$B,0)),"")&lt;&gt;""),IFERROR(INDEX('06_DS_Chinh_Thuc'!$K:$K,MATCH(IFERROR(INDEX('05_Theo_Doi_Gio_Cong_7_Ngay'!$R:$R,MATCH($J14,'05_Theo_Doi_Gio_Cong_7_Ngay'!$B:$B,0)),""),'06_DS_Chinh_Thuc'!$B:$B,0)),"Đang theo dõi"),"Đang theo dõi"))))</f>
        <v>Đã nghỉ</v>
      </c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ht="14.25" customHeight="1" spans="1:26" x14ac:dyDescent="0.25">
      <c r="A15" s="66">
        <f t="shared" si="0"/>
        <v>14</v>
      </c>
      <c r="B15" s="66" t="s">
        <v>511</v>
      </c>
      <c r="C15" s="66" t="str">
        <f t="array" ref="C15">IF(B15="","",IFERROR(INDEX('01_UngVien_PhongVan'!$D:$D,MATCH(B15,'01_UngVien_PhongVan'!$B:$B,0)),"Không tìm thấy mã ứng viên"))</f>
        <v>Lê Thị Cẩm Hồng</v>
      </c>
      <c r="D15" s="67">
        <f t="array" ref="D15">IF(B15="","",IFERROR(INDEX('01_UngVien_PhongVan'!$AZ:$AZ,MATCH(B15,'01_UngVien_PhongVan'!$B:$B,0)),""))</f>
      </c>
      <c r="E15" s="68"/>
      <c r="F15" s="66">
        <f t="shared" si="1"/>
      </c>
      <c r="G15" s="67">
        <f t="shared" si="2"/>
      </c>
      <c r="H15" s="61"/>
      <c r="I15" s="61"/>
      <c r="J15" s="66">
        <f t="shared" si="3"/>
      </c>
      <c r="K15" s="61"/>
      <c r="L15" s="66">
        <f>IF(D15="","",IF(AND(MONTH(D15)='04_DS_Nhan_Viec_Trong_Thang'!$C$2,YEAR(D15)='04_DS_Nhan_Viec_Trong_Thang'!$E$2),SUMPRODUCT(($D$2:D15&lt;&gt;"")*(MONTH($D$2:D15)='04_DS_Nhan_Viec_Trong_Thang'!$C$2)*(YEAR($D$2:D15)='04_DS_Nhan_Viec_Trong_Thang'!$E$2)),""))</f>
      </c>
      <c r="M15" s="65">
        <f t="shared" si="4"/>
      </c>
      <c r="N15" s="61" t="str">
        <f t="array" ref="N15">IF($B15="","",IF($J15="","Đang theo dõi",IF(OR(ISNUMBER(SEARCH("Không đủ điều kiện",IFERROR(INDEX('05_Theo_Doi_Gio_Cong_7_Ngay'!$Q:$Q,MATCH($J15,'05_Theo_Doi_Gio_Cong_7_Ngay'!$B:$B,0)),""))),ISNUMBER(SEARCH("Đủ 7 ngày nhưng",IFERROR(INDEX('05_Theo_Doi_Gio_Cong_7_Ngay'!$Q:$Q,MATCH($J15,'05_Theo_Doi_Gio_Cong_7_Ngay'!$B:$B,0)),"")))),"Đã nghỉ",IF(AND(OR(ISNUMBER(SEARCH("Đủ điều kiện",IFERROR(INDEX('05_Theo_Doi_Gio_Cong_7_Ngay'!$Q:$Q,MATCH($J15,'05_Theo_Doi_Gio_Cong_7_Ngay'!$B:$B,0)),""))),ISNUMBER(SEARCH("Đã có số thẻ",IFERROR(INDEX('05_Theo_Doi_Gio_Cong_7_Ngay'!$Q:$Q,MATCH($J15,'05_Theo_Doi_Gio_Cong_7_Ngay'!$B:$B,0)),"")))),IFERROR(INDEX('05_Theo_Doi_Gio_Cong_7_Ngay'!$R:$R,MATCH($J15,'05_Theo_Doi_Gio_Cong_7_Ngay'!$B:$B,0)),"")&lt;&gt;""),IFERROR(INDEX('06_DS_Chinh_Thuc'!$K:$K,MATCH(IFERROR(INDEX('05_Theo_Doi_Gio_Cong_7_Ngay'!$R:$R,MATCH($J15,'05_Theo_Doi_Gio_Cong_7_Ngay'!$B:$B,0)),""),'06_DS_Chinh_Thuc'!$B:$B,0)),"Đang theo dõi"),"Đang theo dõi"))))</f>
        <v>Đang theo dõi</v>
      </c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ht="14.25" customHeight="1" spans="1:26" x14ac:dyDescent="0.25">
      <c r="A16" s="66">
        <f t="shared" si="0"/>
        <v>15</v>
      </c>
      <c r="B16" s="66" t="s">
        <v>512</v>
      </c>
      <c r="C16" s="66" t="str">
        <f t="array" ref="C16">IF(B16="","",IFERROR(INDEX('01_UngVien_PhongVan'!$D:$D,MATCH(B16,'01_UngVien_PhongVan'!$B:$B,0)),"Không tìm thấy mã ứng viên"))</f>
        <v>Chu Nữ Ngọc Song Linh</v>
      </c>
      <c r="D16" s="67">
        <f t="array" ref="D16">IF(B16="","",IFERROR(INDEX('01_UngVien_PhongVan'!$AZ:$AZ,MATCH(B16,'01_UngVien_PhongVan'!$B:$B,0)),""))</f>
        <v>46244</v>
      </c>
      <c r="E16" s="69">
        <v>46244</v>
      </c>
      <c r="F16" s="66" t="str">
        <f t="shared" si="1"/>
        <v>✅ Đã nhận việc - Đúng hẹn</v>
      </c>
      <c r="G16" s="67">
        <f t="shared" si="2"/>
        <v>46253</v>
      </c>
      <c r="H16" s="61" t="s">
        <v>16</v>
      </c>
      <c r="I16" s="61" t="s">
        <v>167</v>
      </c>
      <c r="J16" s="66" t="str">
        <f t="shared" si="3"/>
        <v>NV011</v>
      </c>
      <c r="K16" s="61"/>
      <c r="L16" s="66">
        <f>IF(D16="","",IF(AND(MONTH(D16)='04_DS_Nhan_Viec_Trong_Thang'!$C$2,YEAR(D16)='04_DS_Nhan_Viec_Trong_Thang'!$E$2),SUMPRODUCT(($D$2:D16&lt;&gt;"")*(MONTH($D$2:D16)='04_DS_Nhan_Viec_Trong_Thang'!$C$2)*(YEAR($D$2:D16)='04_DS_Nhan_Viec_Trong_Thang'!$E$2)),""))</f>
      </c>
      <c r="M16" s="65">
        <f t="shared" si="4"/>
        <v>11</v>
      </c>
      <c r="N16" s="61" t="str">
        <f t="array" ref="N16">IF($B16="","",IF($J16="","Đang theo dõi",IF(OR(ISNUMBER(SEARCH("Không đủ điều kiện",IFERROR(INDEX('05_Theo_Doi_Gio_Cong_7_Ngay'!$Q:$Q,MATCH($J16,'05_Theo_Doi_Gio_Cong_7_Ngay'!$B:$B,0)),""))),ISNUMBER(SEARCH("Đủ 7 ngày nhưng",IFERROR(INDEX('05_Theo_Doi_Gio_Cong_7_Ngay'!$Q:$Q,MATCH($J16,'05_Theo_Doi_Gio_Cong_7_Ngay'!$B:$B,0)),"")))),"Đã nghỉ",IF(AND(OR(ISNUMBER(SEARCH("Đủ điều kiện",IFERROR(INDEX('05_Theo_Doi_Gio_Cong_7_Ngay'!$Q:$Q,MATCH($J16,'05_Theo_Doi_Gio_Cong_7_Ngay'!$B:$B,0)),""))),ISNUMBER(SEARCH("Đã có số thẻ",IFERROR(INDEX('05_Theo_Doi_Gio_Cong_7_Ngay'!$Q:$Q,MATCH($J16,'05_Theo_Doi_Gio_Cong_7_Ngay'!$B:$B,0)),"")))),IFERROR(INDEX('05_Theo_Doi_Gio_Cong_7_Ngay'!$R:$R,MATCH($J16,'05_Theo_Doi_Gio_Cong_7_Ngay'!$B:$B,0)),"")&lt;&gt;""),IFERROR(INDEX('06_DS_Chinh_Thuc'!$K:$K,MATCH(IFERROR(INDEX('05_Theo_Doi_Gio_Cong_7_Ngay'!$R:$R,MATCH($J16,'05_Theo_Doi_Gio_Cong_7_Ngay'!$B:$B,0)),""),'06_DS_Chinh_Thuc'!$B:$B,0)),"Đang theo dõi"),"Đang theo dõi"))))</f>
        <v>Đang làm</v>
      </c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ht="14.25" customHeight="1" spans="1:26" x14ac:dyDescent="0.25">
      <c r="A17" s="66">
        <f t="shared" si="0"/>
        <v>16</v>
      </c>
      <c r="B17" s="66" t="s">
        <v>513</v>
      </c>
      <c r="C17" s="66" t="str">
        <f t="array" ref="C17">IF(B17="","",IFERROR(INDEX('01_UngVien_PhongVan'!$D:$D,MATCH(B17,'01_UngVien_PhongVan'!$B:$B,0)),"Không tìm thấy mã ứng viên"))</f>
        <v>Thạch Thị Cẩm Tiên</v>
      </c>
      <c r="D17" s="67">
        <f t="array" ref="D17">IF(B17="","",IFERROR(INDEX('01_UngVien_PhongVan'!$AZ:$AZ,MATCH(B17,'01_UngVien_PhongVan'!$B:$B,0)),""))</f>
      </c>
      <c r="E17" s="68"/>
      <c r="F17" s="66">
        <f t="shared" si="1"/>
      </c>
      <c r="G17" s="67">
        <f t="shared" si="2"/>
      </c>
      <c r="H17" s="61"/>
      <c r="I17" s="61"/>
      <c r="J17" s="66">
        <f t="shared" si="3"/>
      </c>
      <c r="K17" s="61"/>
      <c r="L17" s="66">
        <f>IF(D17="","",IF(AND(MONTH(D17)='04_DS_Nhan_Viec_Trong_Thang'!$C$2,YEAR(D17)='04_DS_Nhan_Viec_Trong_Thang'!$E$2),SUMPRODUCT(($D$2:D17&lt;&gt;"")*(MONTH($D$2:D17)='04_DS_Nhan_Viec_Trong_Thang'!$C$2)*(YEAR($D$2:D17)='04_DS_Nhan_Viec_Trong_Thang'!$E$2)),""))</f>
      </c>
      <c r="M17" s="65">
        <f t="shared" si="4"/>
      </c>
      <c r="N17" s="61" t="str">
        <f t="array" ref="N17">IF($B17="","",IF($J17="","Đang theo dõi",IF(OR(ISNUMBER(SEARCH("Không đủ điều kiện",IFERROR(INDEX('05_Theo_Doi_Gio_Cong_7_Ngay'!$Q:$Q,MATCH($J17,'05_Theo_Doi_Gio_Cong_7_Ngay'!$B:$B,0)),""))),ISNUMBER(SEARCH("Đủ 7 ngày nhưng",IFERROR(INDEX('05_Theo_Doi_Gio_Cong_7_Ngay'!$Q:$Q,MATCH($J17,'05_Theo_Doi_Gio_Cong_7_Ngay'!$B:$B,0)),"")))),"Đã nghỉ",IF(AND(OR(ISNUMBER(SEARCH("Đủ điều kiện",IFERROR(INDEX('05_Theo_Doi_Gio_Cong_7_Ngay'!$Q:$Q,MATCH($J17,'05_Theo_Doi_Gio_Cong_7_Ngay'!$B:$B,0)),""))),ISNUMBER(SEARCH("Đã có số thẻ",IFERROR(INDEX('05_Theo_Doi_Gio_Cong_7_Ngay'!$Q:$Q,MATCH($J17,'05_Theo_Doi_Gio_Cong_7_Ngay'!$B:$B,0)),"")))),IFERROR(INDEX('05_Theo_Doi_Gio_Cong_7_Ngay'!$R:$R,MATCH($J17,'05_Theo_Doi_Gio_Cong_7_Ngay'!$B:$B,0)),"")&lt;&gt;""),IFERROR(INDEX('06_DS_Chinh_Thuc'!$K:$K,MATCH(IFERROR(INDEX('05_Theo_Doi_Gio_Cong_7_Ngay'!$R:$R,MATCH($J17,'05_Theo_Doi_Gio_Cong_7_Ngay'!$B:$B,0)),""),'06_DS_Chinh_Thuc'!$B:$B,0)),"Đang theo dõi"),"Đang theo dõi"))))</f>
        <v>Đang theo dõi</v>
      </c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ht="14.25" customHeight="1" spans="1:26" x14ac:dyDescent="0.25">
      <c r="A18" s="66">
        <f t="shared" si="0"/>
        <v>17</v>
      </c>
      <c r="B18" s="66" t="s">
        <v>514</v>
      </c>
      <c r="C18" s="66" t="str">
        <f t="array" ref="C18">IF(B18="","",IFERROR(INDEX('01_UngVien_PhongVan'!$D:$D,MATCH(B18,'01_UngVien_PhongVan'!$B:$B,0)),"Không tìm thấy mã ứng viên"))</f>
        <v>Trần Thị Đó</v>
      </c>
      <c r="D18" s="67">
        <f t="array" ref="D18">IF(B18="","",IFERROR(INDEX('01_UngVien_PhongVan'!$AZ:$AZ,MATCH(B18,'01_UngVien_PhongVan'!$B:$B,0)),""))</f>
        <v>46246</v>
      </c>
      <c r="E18" s="68">
        <v>46246</v>
      </c>
      <c r="F18" s="66" t="str">
        <f t="shared" si="1"/>
        <v>✅ Đã nhận việc - Đúng hẹn</v>
      </c>
      <c r="G18" s="67">
        <f t="shared" si="2"/>
        <v>46255</v>
      </c>
      <c r="H18" s="61"/>
      <c r="I18" s="61"/>
      <c r="J18" s="66" t="str">
        <f t="shared" si="3"/>
        <v>NV012</v>
      </c>
      <c r="K18" s="61"/>
      <c r="L18" s="66">
        <f>IF(D18="","",IF(AND(MONTH(D18)='04_DS_Nhan_Viec_Trong_Thang'!$C$2,YEAR(D18)='04_DS_Nhan_Viec_Trong_Thang'!$E$2),SUMPRODUCT(($D$2:D18&lt;&gt;"")*(MONTH($D$2:D18)='04_DS_Nhan_Viec_Trong_Thang'!$C$2)*(YEAR($D$2:D18)='04_DS_Nhan_Viec_Trong_Thang'!$E$2)),""))</f>
      </c>
      <c r="M18" s="65">
        <f t="shared" si="4"/>
        <v>12</v>
      </c>
      <c r="N18" s="61" t="str">
        <f t="array" ref="N18">IF($B18="","",IF($J18="","Đang theo dõi",IF(OR(ISNUMBER(SEARCH("Không đủ điều kiện",IFERROR(INDEX('05_Theo_Doi_Gio_Cong_7_Ngay'!$Q:$Q,MATCH($J18,'05_Theo_Doi_Gio_Cong_7_Ngay'!$B:$B,0)),""))),ISNUMBER(SEARCH("Đủ 7 ngày nhưng",IFERROR(INDEX('05_Theo_Doi_Gio_Cong_7_Ngay'!$Q:$Q,MATCH($J18,'05_Theo_Doi_Gio_Cong_7_Ngay'!$B:$B,0)),"")))),"Đã nghỉ",IF(AND(OR(ISNUMBER(SEARCH("Đủ điều kiện",IFERROR(INDEX('05_Theo_Doi_Gio_Cong_7_Ngay'!$Q:$Q,MATCH($J18,'05_Theo_Doi_Gio_Cong_7_Ngay'!$B:$B,0)),""))),ISNUMBER(SEARCH("Đã có số thẻ",IFERROR(INDEX('05_Theo_Doi_Gio_Cong_7_Ngay'!$Q:$Q,MATCH($J18,'05_Theo_Doi_Gio_Cong_7_Ngay'!$B:$B,0)),"")))),IFERROR(INDEX('05_Theo_Doi_Gio_Cong_7_Ngay'!$R:$R,MATCH($J18,'05_Theo_Doi_Gio_Cong_7_Ngay'!$B:$B,0)),"")&lt;&gt;""),IFERROR(INDEX('06_DS_Chinh_Thuc'!$K:$K,MATCH(IFERROR(INDEX('05_Theo_Doi_Gio_Cong_7_Ngay'!$R:$R,MATCH($J18,'05_Theo_Doi_Gio_Cong_7_Ngay'!$B:$B,0)),""),'06_DS_Chinh_Thuc'!$B:$B,0)),"Đang theo dõi"),"Đang theo dõi"))))</f>
        <v>Đang làm</v>
      </c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ht="14.25" customHeight="1" spans="1:26" x14ac:dyDescent="0.25">
      <c r="A19" s="66">
        <f t="shared" si="0"/>
        <v>18</v>
      </c>
      <c r="B19" s="66" t="s">
        <v>515</v>
      </c>
      <c r="C19" s="66" t="str">
        <f t="array" ref="C19">IF(B19="","",IFERROR(INDEX('01_UngVien_PhongVan'!$D:$D,MATCH(B19,'01_UngVien_PhongVan'!$B:$B,0)),"Không tìm thấy mã ứng viên"))</f>
        <v>Lê Trọng Nghĩa</v>
      </c>
      <c r="D19" s="67">
        <f t="array" ref="D19">IF(B19="","",IFERROR(INDEX('01_UngVien_PhongVan'!$AZ:$AZ,MATCH(B19,'01_UngVien_PhongVan'!$B:$B,0)),""))</f>
      </c>
      <c r="E19" s="68"/>
      <c r="F19" s="66">
        <f t="shared" si="1"/>
      </c>
      <c r="G19" s="67">
        <f t="shared" si="2"/>
      </c>
      <c r="H19" s="61"/>
      <c r="I19" s="61"/>
      <c r="J19" s="66">
        <f t="shared" si="3"/>
      </c>
      <c r="K19" s="61"/>
      <c r="L19" s="66">
        <f>IF(D19="","",IF(AND(MONTH(D19)='04_DS_Nhan_Viec_Trong_Thang'!$C$2,YEAR(D19)='04_DS_Nhan_Viec_Trong_Thang'!$E$2),SUMPRODUCT(($D$2:D19&lt;&gt;"")*(MONTH($D$2:D19)='04_DS_Nhan_Viec_Trong_Thang'!$C$2)*(YEAR($D$2:D19)='04_DS_Nhan_Viec_Trong_Thang'!$E$2)),""))</f>
      </c>
      <c r="M19" s="65">
        <f t="shared" si="4"/>
      </c>
      <c r="N19" s="61" t="str">
        <f t="array" ref="N19">IF($B19="","",IF($J19="","Đang theo dõi",IF(OR(ISNUMBER(SEARCH("Không đủ điều kiện",IFERROR(INDEX('05_Theo_Doi_Gio_Cong_7_Ngay'!$Q:$Q,MATCH($J19,'05_Theo_Doi_Gio_Cong_7_Ngay'!$B:$B,0)),""))),ISNUMBER(SEARCH("Đủ 7 ngày nhưng",IFERROR(INDEX('05_Theo_Doi_Gio_Cong_7_Ngay'!$Q:$Q,MATCH($J19,'05_Theo_Doi_Gio_Cong_7_Ngay'!$B:$B,0)),"")))),"Đã nghỉ",IF(AND(OR(ISNUMBER(SEARCH("Đủ điều kiện",IFERROR(INDEX('05_Theo_Doi_Gio_Cong_7_Ngay'!$Q:$Q,MATCH($J19,'05_Theo_Doi_Gio_Cong_7_Ngay'!$B:$B,0)),""))),ISNUMBER(SEARCH("Đã có số thẻ",IFERROR(INDEX('05_Theo_Doi_Gio_Cong_7_Ngay'!$Q:$Q,MATCH($J19,'05_Theo_Doi_Gio_Cong_7_Ngay'!$B:$B,0)),"")))),IFERROR(INDEX('05_Theo_Doi_Gio_Cong_7_Ngay'!$R:$R,MATCH($J19,'05_Theo_Doi_Gio_Cong_7_Ngay'!$B:$B,0)),"")&lt;&gt;""),IFERROR(INDEX('06_DS_Chinh_Thuc'!$K:$K,MATCH(IFERROR(INDEX('05_Theo_Doi_Gio_Cong_7_Ngay'!$R:$R,MATCH($J19,'05_Theo_Doi_Gio_Cong_7_Ngay'!$B:$B,0)),""),'06_DS_Chinh_Thuc'!$B:$B,0)),"Đang theo dõi"),"Đang theo dõi"))))</f>
        <v>Đang theo dõi</v>
      </c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ht="14.25" customHeight="1" spans="1:26" x14ac:dyDescent="0.25">
      <c r="A20" s="66">
        <f t="shared" si="0"/>
        <v>19</v>
      </c>
      <c r="B20" s="66" t="s">
        <v>516</v>
      </c>
      <c r="C20" s="66" t="str">
        <f t="array" ref="C20">IF(B20="","",IFERROR(INDEX('01_UngVien_PhongVan'!$D:$D,MATCH(B20,'01_UngVien_PhongVan'!$B:$B,0)),"Không tìm thấy mã ứng viên"))</f>
        <v>Nguyễn Thị Kiều</v>
      </c>
      <c r="D20" s="67">
        <f t="array" ref="D20">IF(B20="","",IFERROR(INDEX('01_UngVien_PhongVan'!$AZ:$AZ,MATCH(B20,'01_UngVien_PhongVan'!$B:$B,0)),""))</f>
      </c>
      <c r="E20" s="68"/>
      <c r="F20" s="66">
        <f t="shared" si="1"/>
      </c>
      <c r="G20" s="67">
        <f t="shared" si="2"/>
      </c>
      <c r="H20" s="61"/>
      <c r="I20" s="61"/>
      <c r="J20" s="66">
        <f t="shared" si="3"/>
      </c>
      <c r="K20" s="61"/>
      <c r="L20" s="66">
        <f>IF(D20="","",IF(AND(MONTH(D20)='04_DS_Nhan_Viec_Trong_Thang'!$C$2,YEAR(D20)='04_DS_Nhan_Viec_Trong_Thang'!$E$2),SUMPRODUCT(($D$2:D20&lt;&gt;"")*(MONTH($D$2:D20)='04_DS_Nhan_Viec_Trong_Thang'!$C$2)*(YEAR($D$2:D20)='04_DS_Nhan_Viec_Trong_Thang'!$E$2)),""))</f>
      </c>
      <c r="M20" s="65">
        <f t="shared" si="4"/>
      </c>
      <c r="N20" s="61" t="str">
        <f t="array" ref="N20">IF($B20="","",IF($J20="","Đang theo dõi",IF(OR(ISNUMBER(SEARCH("Không đủ điều kiện",IFERROR(INDEX('05_Theo_Doi_Gio_Cong_7_Ngay'!$Q:$Q,MATCH($J20,'05_Theo_Doi_Gio_Cong_7_Ngay'!$B:$B,0)),""))),ISNUMBER(SEARCH("Đủ 7 ngày nhưng",IFERROR(INDEX('05_Theo_Doi_Gio_Cong_7_Ngay'!$Q:$Q,MATCH($J20,'05_Theo_Doi_Gio_Cong_7_Ngay'!$B:$B,0)),"")))),"Đã nghỉ",IF(AND(OR(ISNUMBER(SEARCH("Đủ điều kiện",IFERROR(INDEX('05_Theo_Doi_Gio_Cong_7_Ngay'!$Q:$Q,MATCH($J20,'05_Theo_Doi_Gio_Cong_7_Ngay'!$B:$B,0)),""))),ISNUMBER(SEARCH("Đã có số thẻ",IFERROR(INDEX('05_Theo_Doi_Gio_Cong_7_Ngay'!$Q:$Q,MATCH($J20,'05_Theo_Doi_Gio_Cong_7_Ngay'!$B:$B,0)),"")))),IFERROR(INDEX('05_Theo_Doi_Gio_Cong_7_Ngay'!$R:$R,MATCH($J20,'05_Theo_Doi_Gio_Cong_7_Ngay'!$B:$B,0)),"")&lt;&gt;""),IFERROR(INDEX('06_DS_Chinh_Thuc'!$K:$K,MATCH(IFERROR(INDEX('05_Theo_Doi_Gio_Cong_7_Ngay'!$R:$R,MATCH($J20,'05_Theo_Doi_Gio_Cong_7_Ngay'!$B:$B,0)),""),'06_DS_Chinh_Thuc'!$B:$B,0)),"Đang theo dõi"),"Đang theo dõi"))))</f>
        <v>Đang theo dõi</v>
      </c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ht="14.25" customHeight="1" spans="1:26" x14ac:dyDescent="0.25">
      <c r="A21" s="66">
        <f t="shared" si="0"/>
        <v>20</v>
      </c>
      <c r="B21" s="66" t="s">
        <v>517</v>
      </c>
      <c r="C21" s="66" t="str">
        <f t="array" ref="C21">IF(B21="","",IFERROR(INDEX('01_UngVien_PhongVan'!$D:$D,MATCH(B21,'01_UngVien_PhongVan'!$B:$B,0)),"Không tìm thấy mã ứng viên"))</f>
        <v>Võ Văn Phi</v>
      </c>
      <c r="D21" s="67">
        <f t="array" ref="D21">IF(B21="","",IFERROR(INDEX('01_UngVien_PhongVan'!$AZ:$AZ,MATCH(B21,'01_UngVien_PhongVan'!$B:$B,0)),""))</f>
      </c>
      <c r="E21" s="68"/>
      <c r="F21" s="66">
        <f t="shared" si="1"/>
      </c>
      <c r="G21" s="67">
        <f t="shared" si="2"/>
      </c>
      <c r="H21" s="61"/>
      <c r="I21" s="61"/>
      <c r="J21" s="66">
        <f t="shared" si="3"/>
      </c>
      <c r="K21" s="61"/>
      <c r="L21" s="66">
        <f>IF(D21="","",IF(AND(MONTH(D21)='04_DS_Nhan_Viec_Trong_Thang'!$C$2,YEAR(D21)='04_DS_Nhan_Viec_Trong_Thang'!$E$2),SUMPRODUCT(($D$2:D21&lt;&gt;"")*(MONTH($D$2:D21)='04_DS_Nhan_Viec_Trong_Thang'!$C$2)*(YEAR($D$2:D21)='04_DS_Nhan_Viec_Trong_Thang'!$E$2)),""))</f>
      </c>
      <c r="M21" s="65">
        <f t="shared" si="4"/>
      </c>
      <c r="N21" s="61" t="str">
        <f t="array" ref="N21">IF($B21="","",IF($J21="","Đang theo dõi",IF(OR(ISNUMBER(SEARCH("Không đủ điều kiện",IFERROR(INDEX('05_Theo_Doi_Gio_Cong_7_Ngay'!$Q:$Q,MATCH($J21,'05_Theo_Doi_Gio_Cong_7_Ngay'!$B:$B,0)),""))),ISNUMBER(SEARCH("Đủ 7 ngày nhưng",IFERROR(INDEX('05_Theo_Doi_Gio_Cong_7_Ngay'!$Q:$Q,MATCH($J21,'05_Theo_Doi_Gio_Cong_7_Ngay'!$B:$B,0)),"")))),"Đã nghỉ",IF(AND(OR(ISNUMBER(SEARCH("Đủ điều kiện",IFERROR(INDEX('05_Theo_Doi_Gio_Cong_7_Ngay'!$Q:$Q,MATCH($J21,'05_Theo_Doi_Gio_Cong_7_Ngay'!$B:$B,0)),""))),ISNUMBER(SEARCH("Đã có số thẻ",IFERROR(INDEX('05_Theo_Doi_Gio_Cong_7_Ngay'!$Q:$Q,MATCH($J21,'05_Theo_Doi_Gio_Cong_7_Ngay'!$B:$B,0)),"")))),IFERROR(INDEX('05_Theo_Doi_Gio_Cong_7_Ngay'!$R:$R,MATCH($J21,'05_Theo_Doi_Gio_Cong_7_Ngay'!$B:$B,0)),"")&lt;&gt;""),IFERROR(INDEX('06_DS_Chinh_Thuc'!$K:$K,MATCH(IFERROR(INDEX('05_Theo_Doi_Gio_Cong_7_Ngay'!$R:$R,MATCH($J21,'05_Theo_Doi_Gio_Cong_7_Ngay'!$B:$B,0)),""),'06_DS_Chinh_Thuc'!$B:$B,0)),"Đang theo dõi"),"Đang theo dõi"))))</f>
        <v>Đang theo dõi</v>
      </c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ht="14.25" customHeight="1" spans="1:26" x14ac:dyDescent="0.25">
      <c r="A22" s="66">
        <f t="shared" si="0"/>
        <v>21</v>
      </c>
      <c r="B22" s="66" t="s">
        <v>518</v>
      </c>
      <c r="C22" s="66" t="str">
        <f t="array" ref="C22">IF(B22="","",IFERROR(INDEX('01_UngVien_PhongVan'!$D:$D,MATCH(B22,'01_UngVien_PhongVan'!$B:$B,0)),"Không tìm thấy mã ứng viên"))</f>
        <v>Danh Thị Tuyến</v>
      </c>
      <c r="D22" s="67">
        <f t="array" ref="D22">IF(B22="","",IFERROR(INDEX('01_UngVien_PhongVan'!$AZ:$AZ,MATCH(B22,'01_UngVien_PhongVan'!$B:$B,0)),""))</f>
      </c>
      <c r="E22" s="68"/>
      <c r="F22" s="66">
        <f t="shared" si="1"/>
      </c>
      <c r="G22" s="67">
        <f t="shared" si="2"/>
      </c>
      <c r="H22" s="65"/>
      <c r="I22" s="65"/>
      <c r="J22" s="66">
        <f t="shared" si="3"/>
      </c>
      <c r="K22" s="61"/>
      <c r="L22" s="66">
        <f>IF(D22="","",IF(AND(MONTH(D22)='04_DS_Nhan_Viec_Trong_Thang'!$C$2,YEAR(D22)='04_DS_Nhan_Viec_Trong_Thang'!$E$2),SUMPRODUCT(($D$2:D22&lt;&gt;"")*(MONTH($D$2:D22)='04_DS_Nhan_Viec_Trong_Thang'!$C$2)*(YEAR($D$2:D22)='04_DS_Nhan_Viec_Trong_Thang'!$E$2)),""))</f>
      </c>
      <c r="M22" s="65">
        <f t="shared" si="4"/>
      </c>
      <c r="N22" s="61" t="str">
        <f t="array" ref="N22">IF($B22="","",IF($J22="","Đang theo dõi",IF(OR(ISNUMBER(SEARCH("Không đủ điều kiện",IFERROR(INDEX('05_Theo_Doi_Gio_Cong_7_Ngay'!$Q:$Q,MATCH($J22,'05_Theo_Doi_Gio_Cong_7_Ngay'!$B:$B,0)),""))),ISNUMBER(SEARCH("Đủ 7 ngày nhưng",IFERROR(INDEX('05_Theo_Doi_Gio_Cong_7_Ngay'!$Q:$Q,MATCH($J22,'05_Theo_Doi_Gio_Cong_7_Ngay'!$B:$B,0)),"")))),"Đã nghỉ",IF(AND(OR(ISNUMBER(SEARCH("Đủ điều kiện",IFERROR(INDEX('05_Theo_Doi_Gio_Cong_7_Ngay'!$Q:$Q,MATCH($J22,'05_Theo_Doi_Gio_Cong_7_Ngay'!$B:$B,0)),""))),ISNUMBER(SEARCH("Đã có số thẻ",IFERROR(INDEX('05_Theo_Doi_Gio_Cong_7_Ngay'!$Q:$Q,MATCH($J22,'05_Theo_Doi_Gio_Cong_7_Ngay'!$B:$B,0)),"")))),IFERROR(INDEX('05_Theo_Doi_Gio_Cong_7_Ngay'!$R:$R,MATCH($J22,'05_Theo_Doi_Gio_Cong_7_Ngay'!$B:$B,0)),"")&lt;&gt;""),IFERROR(INDEX('06_DS_Chinh_Thuc'!$K:$K,MATCH(IFERROR(INDEX('05_Theo_Doi_Gio_Cong_7_Ngay'!$R:$R,MATCH($J22,'05_Theo_Doi_Gio_Cong_7_Ngay'!$B:$B,0)),""),'06_DS_Chinh_Thuc'!$B:$B,0)),"Đang theo dõi"),"Đang theo dõi"))))</f>
        <v>Đang theo dõi</v>
      </c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ht="42.75" customHeight="1" spans="1:26" x14ac:dyDescent="0.25">
      <c r="A23" s="66">
        <f t="shared" si="0"/>
        <v>22</v>
      </c>
      <c r="B23" s="66" t="s">
        <v>519</v>
      </c>
      <c r="C23" s="66" t="str">
        <f t="array" ref="C23">IF(B23="","",IFERROR(INDEX('01_UngVien_PhongVan'!$D:$D,MATCH(B23,'01_UngVien_PhongVan'!$B:$B,0)),"Không tìm thấy mã ứng viên"))</f>
        <v>Nguyễn Hữu Đức</v>
      </c>
      <c r="D23" s="67">
        <f t="array" ref="D23">IF(B23="","",IFERROR(INDEX('01_UngVien_PhongVan'!$AZ:$AZ,MATCH(B23,'01_UngVien_PhongVan'!$B:$B,0)),""))</f>
        <v>46252</v>
      </c>
      <c r="E23" s="68">
        <v>46252</v>
      </c>
      <c r="F23" s="66" t="str">
        <f t="shared" si="1"/>
        <v>✅ Đã nhận việc - Đúng hẹn</v>
      </c>
      <c r="G23" s="67">
        <f t="shared" si="2"/>
        <v>46261</v>
      </c>
      <c r="H23" s="61" t="s">
        <v>14</v>
      </c>
      <c r="I23" s="61" t="s">
        <v>167</v>
      </c>
      <c r="J23" s="66" t="str">
        <f t="shared" si="3"/>
        <v>NV013</v>
      </c>
      <c r="K23" s="70" t="s">
        <v>231</v>
      </c>
      <c r="L23" s="66">
        <f>IF(D23="","",IF(AND(MONTH(D23)='04_DS_Nhan_Viec_Trong_Thang'!$C$2,YEAR(D23)='04_DS_Nhan_Viec_Trong_Thang'!$E$2),SUMPRODUCT(($D$2:D23&lt;&gt;"")*(MONTH($D$2:D23)='04_DS_Nhan_Viec_Trong_Thang'!$C$2)*(YEAR($D$2:D23)='04_DS_Nhan_Viec_Trong_Thang'!$E$2)),""))</f>
      </c>
      <c r="M23" s="65">
        <f t="shared" si="4"/>
        <v>13</v>
      </c>
      <c r="N23" s="61" t="str">
        <f t="array" ref="N23">IF($B23="","",IF($J23="","Đang theo dõi",IF(OR(ISNUMBER(SEARCH("Không đủ điều kiện",IFERROR(INDEX('05_Theo_Doi_Gio_Cong_7_Ngay'!$Q:$Q,MATCH($J23,'05_Theo_Doi_Gio_Cong_7_Ngay'!$B:$B,0)),""))),ISNUMBER(SEARCH("Đủ 7 ngày nhưng",IFERROR(INDEX('05_Theo_Doi_Gio_Cong_7_Ngay'!$Q:$Q,MATCH($J23,'05_Theo_Doi_Gio_Cong_7_Ngay'!$B:$B,0)),"")))),"Đã nghỉ",IF(AND(OR(ISNUMBER(SEARCH("Đủ điều kiện",IFERROR(INDEX('05_Theo_Doi_Gio_Cong_7_Ngay'!$Q:$Q,MATCH($J23,'05_Theo_Doi_Gio_Cong_7_Ngay'!$B:$B,0)),""))),ISNUMBER(SEARCH("Đã có số thẻ",IFERROR(INDEX('05_Theo_Doi_Gio_Cong_7_Ngay'!$Q:$Q,MATCH($J23,'05_Theo_Doi_Gio_Cong_7_Ngay'!$B:$B,0)),"")))),IFERROR(INDEX('05_Theo_Doi_Gio_Cong_7_Ngay'!$R:$R,MATCH($J23,'05_Theo_Doi_Gio_Cong_7_Ngay'!$B:$B,0)),"")&lt;&gt;""),IFERROR(INDEX('06_DS_Chinh_Thuc'!$K:$K,MATCH(IFERROR(INDEX('05_Theo_Doi_Gio_Cong_7_Ngay'!$R:$R,MATCH($J23,'05_Theo_Doi_Gio_Cong_7_Ngay'!$B:$B,0)),""),'06_DS_Chinh_Thuc'!$B:$B,0)),"Đang theo dõi"),"Đang theo dõi"))))</f>
        <v>Đã nghỉ</v>
      </c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ht="42.75" customHeight="1" spans="1:26" x14ac:dyDescent="0.25">
      <c r="A24" s="66">
        <f t="shared" si="0"/>
        <v>23</v>
      </c>
      <c r="B24" s="66" t="s">
        <v>520</v>
      </c>
      <c r="C24" s="66" t="str">
        <f t="array" ref="C24">IF(B24="","",IFERROR(INDEX('01_UngVien_PhongVan'!$D:$D,MATCH(B24,'01_UngVien_PhongVan'!$B:$B,0)),"Không tìm thấy mã ứng viên"))</f>
        <v>Võ Thị Thanh Tuyền</v>
      </c>
      <c r="D24" s="67">
        <f t="array" ref="D24">IF(B24="","",IFERROR(INDEX('01_UngVien_PhongVan'!$AZ:$AZ,MATCH(B24,'01_UngVien_PhongVan'!$B:$B,0)),""))</f>
        <v>46252</v>
      </c>
      <c r="E24" s="68">
        <v>46252</v>
      </c>
      <c r="F24" s="66" t="str">
        <f t="shared" si="1"/>
        <v>✅ Đã nhận việc - Đúng hẹn</v>
      </c>
      <c r="G24" s="67">
        <f t="shared" si="2"/>
        <v>46261</v>
      </c>
      <c r="H24" s="61" t="s">
        <v>499</v>
      </c>
      <c r="I24" s="61" t="s">
        <v>230</v>
      </c>
      <c r="J24" s="66" t="str">
        <f t="shared" si="3"/>
        <v>NV014</v>
      </c>
      <c r="K24" s="70" t="s">
        <v>231</v>
      </c>
      <c r="L24" s="66">
        <f>IF(D24="","",IF(AND(MONTH(D24)='04_DS_Nhan_Viec_Trong_Thang'!$C$2,YEAR(D24)='04_DS_Nhan_Viec_Trong_Thang'!$E$2),SUMPRODUCT(($D$2:D24&lt;&gt;"")*(MONTH($D$2:D24)='04_DS_Nhan_Viec_Trong_Thang'!$C$2)*(YEAR($D$2:D24)='04_DS_Nhan_Viec_Trong_Thang'!$E$2)),""))</f>
      </c>
      <c r="M24" s="65">
        <f t="shared" si="4"/>
        <v>14</v>
      </c>
      <c r="N24" s="61" t="str">
        <f t="array" ref="N24">IF($B24="","",IF($J24="","Đang theo dõi",IF(OR(ISNUMBER(SEARCH("Không đủ điều kiện",IFERROR(INDEX('05_Theo_Doi_Gio_Cong_7_Ngay'!$Q:$Q,MATCH($J24,'05_Theo_Doi_Gio_Cong_7_Ngay'!$B:$B,0)),""))),ISNUMBER(SEARCH("Đủ 7 ngày nhưng",IFERROR(INDEX('05_Theo_Doi_Gio_Cong_7_Ngay'!$Q:$Q,MATCH($J24,'05_Theo_Doi_Gio_Cong_7_Ngay'!$B:$B,0)),"")))),"Đã nghỉ",IF(AND(OR(ISNUMBER(SEARCH("Đủ điều kiện",IFERROR(INDEX('05_Theo_Doi_Gio_Cong_7_Ngay'!$Q:$Q,MATCH($J24,'05_Theo_Doi_Gio_Cong_7_Ngay'!$B:$B,0)),""))),ISNUMBER(SEARCH("Đã có số thẻ",IFERROR(INDEX('05_Theo_Doi_Gio_Cong_7_Ngay'!$Q:$Q,MATCH($J24,'05_Theo_Doi_Gio_Cong_7_Ngay'!$B:$B,0)),"")))),IFERROR(INDEX('05_Theo_Doi_Gio_Cong_7_Ngay'!$R:$R,MATCH($J24,'05_Theo_Doi_Gio_Cong_7_Ngay'!$B:$B,0)),"")&lt;&gt;""),IFERROR(INDEX('06_DS_Chinh_Thuc'!$K:$K,MATCH(IFERROR(INDEX('05_Theo_Doi_Gio_Cong_7_Ngay'!$R:$R,MATCH($J24,'05_Theo_Doi_Gio_Cong_7_Ngay'!$B:$B,0)),""),'06_DS_Chinh_Thuc'!$B:$B,0)),"Đang theo dõi"),"Đang theo dõi"))))</f>
        <v>Đã nghỉ</v>
      </c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ht="14.25" customHeight="1" spans="1:26" x14ac:dyDescent="0.25">
      <c r="A25" s="66">
        <f t="shared" si="0"/>
        <v>24</v>
      </c>
      <c r="B25" s="66" t="s">
        <v>42</v>
      </c>
      <c r="C25" s="66" t="str">
        <f t="array" ref="C25">IF(B25="","",IFERROR(INDEX('01_UngVien_PhongVan'!$D:$D,MATCH(B25,'01_UngVien_PhongVan'!$B:$B,0)),"Không tìm thấy mã ứng viên"))</f>
        <v>Phan Văn Cánh</v>
      </c>
      <c r="D25" s="67">
        <f t="array" ref="D25">IF(B25="","",IFERROR(INDEX('01_UngVien_PhongVan'!$AZ:$AZ,MATCH(B25,'01_UngVien_PhongVan'!$B:$B,0)),""))</f>
        <v>46256</v>
      </c>
      <c r="E25" s="68">
        <v>46256</v>
      </c>
      <c r="F25" s="66" t="str">
        <f t="shared" si="1"/>
        <v>✅ Đã nhận việc - Đúng hẹn</v>
      </c>
      <c r="G25" s="67">
        <f t="shared" si="2"/>
        <v>46266</v>
      </c>
      <c r="H25" s="61"/>
      <c r="I25" s="61"/>
      <c r="J25" s="66" t="str">
        <f t="shared" si="3"/>
        <v>NV015</v>
      </c>
      <c r="K25" s="61"/>
      <c r="L25" s="66">
        <f>IF(D25="","",IF(AND(MONTH(D25)='04_DS_Nhan_Viec_Trong_Thang'!$C$2,YEAR(D25)='04_DS_Nhan_Viec_Trong_Thang'!$E$2),SUMPRODUCT(($D$2:D25&lt;&gt;"")*(MONTH($D$2:D25)='04_DS_Nhan_Viec_Trong_Thang'!$C$2)*(YEAR($D$2:D25)='04_DS_Nhan_Viec_Trong_Thang'!$E$2)),""))</f>
      </c>
      <c r="M25" s="65">
        <f t="shared" si="4"/>
        <v>15</v>
      </c>
      <c r="N25" s="61" t="str">
        <f t="array" ref="N25">IF($B25="","",IF($J25="","Đang theo dõi",IF(OR(ISNUMBER(SEARCH("Không đủ điều kiện",IFERROR(INDEX('05_Theo_Doi_Gio_Cong_7_Ngay'!$Q:$Q,MATCH($J25,'05_Theo_Doi_Gio_Cong_7_Ngay'!$B:$B,0)),""))),ISNUMBER(SEARCH("Đủ 7 ngày nhưng",IFERROR(INDEX('05_Theo_Doi_Gio_Cong_7_Ngay'!$Q:$Q,MATCH($J25,'05_Theo_Doi_Gio_Cong_7_Ngay'!$B:$B,0)),"")))),"Đã nghỉ",IF(AND(OR(ISNUMBER(SEARCH("Đủ điều kiện",IFERROR(INDEX('05_Theo_Doi_Gio_Cong_7_Ngay'!$Q:$Q,MATCH($J25,'05_Theo_Doi_Gio_Cong_7_Ngay'!$B:$B,0)),""))),ISNUMBER(SEARCH("Đã có số thẻ",IFERROR(INDEX('05_Theo_Doi_Gio_Cong_7_Ngay'!$Q:$Q,MATCH($J25,'05_Theo_Doi_Gio_Cong_7_Ngay'!$B:$B,0)),"")))),IFERROR(INDEX('05_Theo_Doi_Gio_Cong_7_Ngay'!$R:$R,MATCH($J25,'05_Theo_Doi_Gio_Cong_7_Ngay'!$B:$B,0)),"")&lt;&gt;""),IFERROR(INDEX('06_DS_Chinh_Thuc'!$K:$K,MATCH(IFERROR(INDEX('05_Theo_Doi_Gio_Cong_7_Ngay'!$R:$R,MATCH($J25,'05_Theo_Doi_Gio_Cong_7_Ngay'!$B:$B,0)),""),'06_DS_Chinh_Thuc'!$B:$B,0)),"Đang theo dõi"),"Đang theo dõi"))))</f>
        <v>Đã nghỉ</v>
      </c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ht="14.25" customHeight="1" spans="1:26" x14ac:dyDescent="0.25">
      <c r="A26" s="66">
        <f t="shared" si="0"/>
        <v>25</v>
      </c>
      <c r="B26" s="66" t="s">
        <v>46</v>
      </c>
      <c r="C26" s="66" t="str">
        <f t="array" ref="C26">IF(B26="","",IFERROR(INDEX('01_UngVien_PhongVan'!$D:$D,MATCH(B26,'01_UngVien_PhongVan'!$B:$B,0)),"Không tìm thấy mã ứng viên"))</f>
        <v>Nguyễn Văn Nhơn</v>
      </c>
      <c r="D26" s="67">
        <f t="array" ref="D26">IF(B26="","",IFERROR(INDEX('01_UngVien_PhongVan'!$AZ:$AZ,MATCH(B26,'01_UngVien_PhongVan'!$B:$B,0)),""))</f>
        <v>46256</v>
      </c>
      <c r="E26" s="68">
        <v>46256</v>
      </c>
      <c r="F26" s="66" t="str">
        <f t="shared" si="1"/>
        <v>✅ Đã nhận việc - Đúng hẹn</v>
      </c>
      <c r="G26" s="67">
        <f t="shared" si="2"/>
        <v>46266</v>
      </c>
      <c r="H26" s="61"/>
      <c r="I26" s="61"/>
      <c r="J26" s="66" t="str">
        <f t="shared" si="3"/>
        <v>NV016</v>
      </c>
      <c r="K26" s="61"/>
      <c r="L26" s="66">
        <f>IF(D26="","",IF(AND(MONTH(D26)='04_DS_Nhan_Viec_Trong_Thang'!$C$2,YEAR(D26)='04_DS_Nhan_Viec_Trong_Thang'!$E$2),SUMPRODUCT(($D$2:D26&lt;&gt;"")*(MONTH($D$2:D26)='04_DS_Nhan_Viec_Trong_Thang'!$C$2)*(YEAR($D$2:D26)='04_DS_Nhan_Viec_Trong_Thang'!$E$2)),""))</f>
      </c>
      <c r="M26" s="65">
        <f t="shared" si="4"/>
        <v>16</v>
      </c>
      <c r="N26" s="61" t="str">
        <f t="array" ref="N26">IF($B26="","",IF($J26="","Đang theo dõi",IF(OR(ISNUMBER(SEARCH("Không đủ điều kiện",IFERROR(INDEX('05_Theo_Doi_Gio_Cong_7_Ngay'!$Q:$Q,MATCH($J26,'05_Theo_Doi_Gio_Cong_7_Ngay'!$B:$B,0)),""))),ISNUMBER(SEARCH("Đủ 7 ngày nhưng",IFERROR(INDEX('05_Theo_Doi_Gio_Cong_7_Ngay'!$Q:$Q,MATCH($J26,'05_Theo_Doi_Gio_Cong_7_Ngay'!$B:$B,0)),"")))),"Đã nghỉ",IF(AND(OR(ISNUMBER(SEARCH("Đủ điều kiện",IFERROR(INDEX('05_Theo_Doi_Gio_Cong_7_Ngay'!$Q:$Q,MATCH($J26,'05_Theo_Doi_Gio_Cong_7_Ngay'!$B:$B,0)),""))),ISNUMBER(SEARCH("Đã có số thẻ",IFERROR(INDEX('05_Theo_Doi_Gio_Cong_7_Ngay'!$Q:$Q,MATCH($J26,'05_Theo_Doi_Gio_Cong_7_Ngay'!$B:$B,0)),"")))),IFERROR(INDEX('05_Theo_Doi_Gio_Cong_7_Ngay'!$R:$R,MATCH($J26,'05_Theo_Doi_Gio_Cong_7_Ngay'!$B:$B,0)),"")&lt;&gt;""),IFERROR(INDEX('06_DS_Chinh_Thuc'!$K:$K,MATCH(IFERROR(INDEX('05_Theo_Doi_Gio_Cong_7_Ngay'!$R:$R,MATCH($J26,'05_Theo_Doi_Gio_Cong_7_Ngay'!$B:$B,0)),""),'06_DS_Chinh_Thuc'!$B:$B,0)),"Đang theo dõi"),"Đang theo dõi"))))</f>
        <v>Đang làm</v>
      </c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ht="14.25" customHeight="1" spans="1:26" x14ac:dyDescent="0.25">
      <c r="A27" s="66">
        <f t="shared" si="0"/>
        <v>26</v>
      </c>
      <c r="B27" s="66" t="s">
        <v>75</v>
      </c>
      <c r="C27" s="66" t="str">
        <f t="array" ref="C27">IF(B27="","",IFERROR(INDEX('01_UngVien_PhongVan'!$D:$D,MATCH(B27,'01_UngVien_PhongVan'!$B:$B,0)),"Không tìm thấy mã ứng viên"))</f>
        <v>Nguyễn Nam Phương</v>
      </c>
      <c r="D27" s="67">
        <f t="array" ref="D27">IF(B27="","",IFERROR(INDEX('01_UngVien_PhongVan'!$AZ:$AZ,MATCH(B27,'01_UngVien_PhongVan'!$B:$B,0)),""))</f>
        <v>46256</v>
      </c>
      <c r="E27" s="68">
        <v>46256</v>
      </c>
      <c r="F27" s="66" t="str">
        <f t="shared" si="1"/>
        <v>✅ Đã nhận việc - Đúng hẹn</v>
      </c>
      <c r="G27" s="67">
        <f t="shared" si="2"/>
        <v>46266</v>
      </c>
      <c r="H27" s="61"/>
      <c r="I27" s="61" t="s">
        <v>322</v>
      </c>
      <c r="J27" s="66" t="str">
        <f t="shared" si="3"/>
        <v>NV017</v>
      </c>
      <c r="K27" s="61"/>
      <c r="L27" s="66">
        <f>IF(D27="","",IF(AND(MONTH(D27)='04_DS_Nhan_Viec_Trong_Thang'!$C$2,YEAR(D27)='04_DS_Nhan_Viec_Trong_Thang'!$E$2),SUMPRODUCT(($D$2:D27&lt;&gt;"")*(MONTH($D$2:D27)='04_DS_Nhan_Viec_Trong_Thang'!$C$2)*(YEAR($D$2:D27)='04_DS_Nhan_Viec_Trong_Thang'!$E$2)),""))</f>
      </c>
      <c r="M27" s="65">
        <f t="shared" si="4"/>
        <v>17</v>
      </c>
      <c r="N27" s="61" t="str">
        <f t="array" ref="N27">IF($B27="","",IF($J27="","Đang theo dõi",IF(OR(ISNUMBER(SEARCH("Không đủ điều kiện",IFERROR(INDEX('05_Theo_Doi_Gio_Cong_7_Ngay'!$Q:$Q,MATCH($J27,'05_Theo_Doi_Gio_Cong_7_Ngay'!$B:$B,0)),""))),ISNUMBER(SEARCH("Đủ 7 ngày nhưng",IFERROR(INDEX('05_Theo_Doi_Gio_Cong_7_Ngay'!$Q:$Q,MATCH($J27,'05_Theo_Doi_Gio_Cong_7_Ngay'!$B:$B,0)),"")))),"Đã nghỉ",IF(AND(OR(ISNUMBER(SEARCH("Đủ điều kiện",IFERROR(INDEX('05_Theo_Doi_Gio_Cong_7_Ngay'!$Q:$Q,MATCH($J27,'05_Theo_Doi_Gio_Cong_7_Ngay'!$B:$B,0)),""))),ISNUMBER(SEARCH("Đã có số thẻ",IFERROR(INDEX('05_Theo_Doi_Gio_Cong_7_Ngay'!$Q:$Q,MATCH($J27,'05_Theo_Doi_Gio_Cong_7_Ngay'!$B:$B,0)),"")))),IFERROR(INDEX('05_Theo_Doi_Gio_Cong_7_Ngay'!$R:$R,MATCH($J27,'05_Theo_Doi_Gio_Cong_7_Ngay'!$B:$B,0)),"")&lt;&gt;""),IFERROR(INDEX('06_DS_Chinh_Thuc'!$K:$K,MATCH(IFERROR(INDEX('05_Theo_Doi_Gio_Cong_7_Ngay'!$R:$R,MATCH($J27,'05_Theo_Doi_Gio_Cong_7_Ngay'!$B:$B,0)),""),'06_DS_Chinh_Thuc'!$B:$B,0)),"Đang theo dõi"),"Đang theo dõi"))))</f>
        <v>Đã nghỉ</v>
      </c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ht="14.25" customHeight="1" spans="1:26" x14ac:dyDescent="0.25">
      <c r="A28" s="66">
        <f t="shared" si="0"/>
        <v>27</v>
      </c>
      <c r="B28" s="66" t="s">
        <v>521</v>
      </c>
      <c r="C28" s="66" t="str">
        <f t="array" ref="C28">IF(B28="","",IFERROR(INDEX('01_UngVien_PhongVan'!$D:$D,MATCH(B28,'01_UngVien_PhongVan'!$B:$B,0)),"Không tìm thấy mã ứng viên"))</f>
        <v>Thạch Thị Trúc Xuân</v>
      </c>
      <c r="D28" s="67">
        <f t="array" ref="D28">IF(B28="","",IFERROR(INDEX('01_UngVien_PhongVan'!$AZ:$AZ,MATCH(B28,'01_UngVien_PhongVan'!$B:$B,0)),""))</f>
        <v>46256</v>
      </c>
      <c r="E28" s="68">
        <v>46256</v>
      </c>
      <c r="F28" s="66" t="str">
        <f t="shared" si="1"/>
        <v>✅ Đã nhận việc - Đúng hẹn</v>
      </c>
      <c r="G28" s="67">
        <f t="shared" si="2"/>
        <v>46266</v>
      </c>
      <c r="H28" s="61"/>
      <c r="I28" s="61"/>
      <c r="J28" s="66" t="str">
        <f t="shared" si="3"/>
        <v>NV018</v>
      </c>
      <c r="K28" s="61"/>
      <c r="L28" s="66">
        <f>IF(D28="","",IF(AND(MONTH(D28)='04_DS_Nhan_Viec_Trong_Thang'!$C$2,YEAR(D28)='04_DS_Nhan_Viec_Trong_Thang'!$E$2),SUMPRODUCT(($D$2:D28&lt;&gt;"")*(MONTH($D$2:D28)='04_DS_Nhan_Viec_Trong_Thang'!$C$2)*(YEAR($D$2:D28)='04_DS_Nhan_Viec_Trong_Thang'!$E$2)),""))</f>
      </c>
      <c r="M28" s="65">
        <f t="shared" si="4"/>
        <v>18</v>
      </c>
      <c r="N28" s="61" t="str">
        <f t="array" ref="N28">IF($B28="","",IF($J28="","Đang theo dõi",IF(OR(ISNUMBER(SEARCH("Không đủ điều kiện",IFERROR(INDEX('05_Theo_Doi_Gio_Cong_7_Ngay'!$Q:$Q,MATCH($J28,'05_Theo_Doi_Gio_Cong_7_Ngay'!$B:$B,0)),""))),ISNUMBER(SEARCH("Đủ 7 ngày nhưng",IFERROR(INDEX('05_Theo_Doi_Gio_Cong_7_Ngay'!$Q:$Q,MATCH($J28,'05_Theo_Doi_Gio_Cong_7_Ngay'!$B:$B,0)),"")))),"Đã nghỉ",IF(AND(OR(ISNUMBER(SEARCH("Đủ điều kiện",IFERROR(INDEX('05_Theo_Doi_Gio_Cong_7_Ngay'!$Q:$Q,MATCH($J28,'05_Theo_Doi_Gio_Cong_7_Ngay'!$B:$B,0)),""))),ISNUMBER(SEARCH("Đã có số thẻ",IFERROR(INDEX('05_Theo_Doi_Gio_Cong_7_Ngay'!$Q:$Q,MATCH($J28,'05_Theo_Doi_Gio_Cong_7_Ngay'!$B:$B,0)),"")))),IFERROR(INDEX('05_Theo_Doi_Gio_Cong_7_Ngay'!$R:$R,MATCH($J28,'05_Theo_Doi_Gio_Cong_7_Ngay'!$B:$B,0)),"")&lt;&gt;""),IFERROR(INDEX('06_DS_Chinh_Thuc'!$K:$K,MATCH(IFERROR(INDEX('05_Theo_Doi_Gio_Cong_7_Ngay'!$R:$R,MATCH($J28,'05_Theo_Doi_Gio_Cong_7_Ngay'!$B:$B,0)),""),'06_DS_Chinh_Thuc'!$B:$B,0)),"Đang theo dõi"),"Đang theo dõi"))))</f>
        <v>Đã nghỉ</v>
      </c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ht="14.25" customHeight="1" spans="1:26" x14ac:dyDescent="0.25">
      <c r="A29" s="66">
        <f t="shared" si="0"/>
        <v>28</v>
      </c>
      <c r="B29" s="66" t="s">
        <v>522</v>
      </c>
      <c r="C29" s="66" t="str">
        <f t="array" ref="C29">IF(B29="","",IFERROR(INDEX('01_UngVien_PhongVan'!$D:$D,MATCH(B29,'01_UngVien_PhongVan'!$B:$B,0)),"Không tìm thấy mã ứng viên"))</f>
        <v>Nguyễn Thị Mỹ Linh</v>
      </c>
      <c r="D29" s="67">
        <f t="array" ref="D29">IF(B29="","",IFERROR(INDEX('01_UngVien_PhongVan'!$AZ:$AZ,MATCH(B29,'01_UngVien_PhongVan'!$B:$B,0)),""))</f>
        <v>46258</v>
      </c>
      <c r="E29" s="68"/>
      <c r="F29" s="66" t="str">
        <f t="shared" si="1"/>
        <v>❌ Không đến nhận việc (quá hẹn)</v>
      </c>
      <c r="G29" s="67">
        <f t="shared" si="2"/>
      </c>
      <c r="H29" s="61"/>
      <c r="I29" s="61"/>
      <c r="J29" s="66">
        <f t="shared" si="3"/>
      </c>
      <c r="K29" s="61"/>
      <c r="L29" s="66">
        <f>IF(D29="","",IF(AND(MONTH(D29)='04_DS_Nhan_Viec_Trong_Thang'!$C$2,YEAR(D29)='04_DS_Nhan_Viec_Trong_Thang'!$E$2),SUMPRODUCT(($D$2:D29&lt;&gt;"")*(MONTH($D$2:D29)='04_DS_Nhan_Viec_Trong_Thang'!$C$2)*(YEAR($D$2:D29)='04_DS_Nhan_Viec_Trong_Thang'!$E$2)),""))</f>
      </c>
      <c r="M29" s="65">
        <f t="shared" si="4"/>
      </c>
      <c r="N29" s="61" t="str">
        <f t="array" ref="N29">IF($B29="","",IF($J29="","Đang theo dõi",IF(OR(ISNUMBER(SEARCH("Không đủ điều kiện",IFERROR(INDEX('05_Theo_Doi_Gio_Cong_7_Ngay'!$Q:$Q,MATCH($J29,'05_Theo_Doi_Gio_Cong_7_Ngay'!$B:$B,0)),""))),ISNUMBER(SEARCH("Đủ 7 ngày nhưng",IFERROR(INDEX('05_Theo_Doi_Gio_Cong_7_Ngay'!$Q:$Q,MATCH($J29,'05_Theo_Doi_Gio_Cong_7_Ngay'!$B:$B,0)),"")))),"Đã nghỉ",IF(AND(OR(ISNUMBER(SEARCH("Đủ điều kiện",IFERROR(INDEX('05_Theo_Doi_Gio_Cong_7_Ngay'!$Q:$Q,MATCH($J29,'05_Theo_Doi_Gio_Cong_7_Ngay'!$B:$B,0)),""))),ISNUMBER(SEARCH("Đã có số thẻ",IFERROR(INDEX('05_Theo_Doi_Gio_Cong_7_Ngay'!$Q:$Q,MATCH($J29,'05_Theo_Doi_Gio_Cong_7_Ngay'!$B:$B,0)),"")))),IFERROR(INDEX('05_Theo_Doi_Gio_Cong_7_Ngay'!$R:$R,MATCH($J29,'05_Theo_Doi_Gio_Cong_7_Ngay'!$B:$B,0)),"")&lt;&gt;""),IFERROR(INDEX('06_DS_Chinh_Thuc'!$K:$K,MATCH(IFERROR(INDEX('05_Theo_Doi_Gio_Cong_7_Ngay'!$R:$R,MATCH($J29,'05_Theo_Doi_Gio_Cong_7_Ngay'!$B:$B,0)),""),'06_DS_Chinh_Thuc'!$B:$B,0)),"Đang theo dõi"),"Đang theo dõi"))))</f>
        <v>Đang theo dõi</v>
      </c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ht="14.25" customHeight="1" spans="1:26" x14ac:dyDescent="0.25">
      <c r="A30" s="66">
        <f t="shared" si="0"/>
        <v>29</v>
      </c>
      <c r="B30" s="66" t="s">
        <v>523</v>
      </c>
      <c r="C30" s="66" t="str">
        <f t="array" ref="C30">IF(B30="","",IFERROR(INDEX('01_UngVien_PhongVan'!$D:$D,MATCH(B30,'01_UngVien_PhongVan'!$B:$B,0)),"Không tìm thấy mã ứng viên"))</f>
        <v>Phan Kim Ánh</v>
      </c>
      <c r="D30" s="67">
        <f t="array" ref="D30">IF(B30="","",IFERROR(INDEX('01_UngVien_PhongVan'!$AZ:$AZ,MATCH(B30,'01_UngVien_PhongVan'!$B:$B,0)),""))</f>
        <v>46261</v>
      </c>
      <c r="E30" s="68"/>
      <c r="F30" s="66" t="str">
        <f t="shared" si="1"/>
        <v>❌ Không đến nhận việc (quá hẹn)</v>
      </c>
      <c r="G30" s="67">
        <f t="shared" si="2"/>
      </c>
      <c r="H30" s="61"/>
      <c r="I30" s="61"/>
      <c r="J30" s="66">
        <f t="shared" si="3"/>
      </c>
      <c r="K30" s="61"/>
      <c r="L30" s="66">
        <f>IF(D30="","",IF(AND(MONTH(D30)='04_DS_Nhan_Viec_Trong_Thang'!$C$2,YEAR(D30)='04_DS_Nhan_Viec_Trong_Thang'!$E$2),SUMPRODUCT(($D$2:D30&lt;&gt;"")*(MONTH($D$2:D30)='04_DS_Nhan_Viec_Trong_Thang'!$C$2)*(YEAR($D$2:D30)='04_DS_Nhan_Viec_Trong_Thang'!$E$2)),""))</f>
      </c>
      <c r="M30" s="65">
        <f t="shared" si="4"/>
      </c>
      <c r="N30" s="61" t="str">
        <f t="array" ref="N30">IF($B30="","",IF($J30="","Đang theo dõi",IF(OR(ISNUMBER(SEARCH("Không đủ điều kiện",IFERROR(INDEX('05_Theo_Doi_Gio_Cong_7_Ngay'!$Q:$Q,MATCH($J30,'05_Theo_Doi_Gio_Cong_7_Ngay'!$B:$B,0)),""))),ISNUMBER(SEARCH("Đủ 7 ngày nhưng",IFERROR(INDEX('05_Theo_Doi_Gio_Cong_7_Ngay'!$Q:$Q,MATCH($J30,'05_Theo_Doi_Gio_Cong_7_Ngay'!$B:$B,0)),"")))),"Đã nghỉ",IF(AND(OR(ISNUMBER(SEARCH("Đủ điều kiện",IFERROR(INDEX('05_Theo_Doi_Gio_Cong_7_Ngay'!$Q:$Q,MATCH($J30,'05_Theo_Doi_Gio_Cong_7_Ngay'!$B:$B,0)),""))),ISNUMBER(SEARCH("Đã có số thẻ",IFERROR(INDEX('05_Theo_Doi_Gio_Cong_7_Ngay'!$Q:$Q,MATCH($J30,'05_Theo_Doi_Gio_Cong_7_Ngay'!$B:$B,0)),"")))),IFERROR(INDEX('05_Theo_Doi_Gio_Cong_7_Ngay'!$R:$R,MATCH($J30,'05_Theo_Doi_Gio_Cong_7_Ngay'!$B:$B,0)),"")&lt;&gt;""),IFERROR(INDEX('06_DS_Chinh_Thuc'!$K:$K,MATCH(IFERROR(INDEX('05_Theo_Doi_Gio_Cong_7_Ngay'!$R:$R,MATCH($J30,'05_Theo_Doi_Gio_Cong_7_Ngay'!$B:$B,0)),""),'06_DS_Chinh_Thuc'!$B:$B,0)),"Đang theo dõi"),"Đang theo dõi"))))</f>
        <v>Đang theo dõi</v>
      </c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ht="14.25" customHeight="1" spans="1:26" x14ac:dyDescent="0.25">
      <c r="A31" s="66">
        <f t="shared" si="0"/>
        <v>30</v>
      </c>
      <c r="B31" s="66" t="s">
        <v>524</v>
      </c>
      <c r="C31" s="66" t="str">
        <f t="array" ref="C31">IF(B31="","",IFERROR(INDEX('01_UngVien_PhongVan'!$D:$D,MATCH(B31,'01_UngVien_PhongVan'!$B:$B,0)),"Không tìm thấy mã ứng viên"))</f>
        <v>Nguyễn Thị Hoàng Oanh</v>
      </c>
      <c r="D31" s="67">
        <f t="array" ref="D31">IF(B31="","",IFERROR(INDEX('01_UngVien_PhongVan'!$AZ:$AZ,MATCH(B31,'01_UngVien_PhongVan'!$B:$B,0)),""))</f>
        <v>46260</v>
      </c>
      <c r="E31" s="68"/>
      <c r="F31" s="66" t="str">
        <f t="shared" si="1"/>
        <v>❌ Không đến nhận việc (quá hẹn)</v>
      </c>
      <c r="G31" s="67">
        <f t="shared" si="2"/>
      </c>
      <c r="H31" s="61"/>
      <c r="I31" s="61"/>
      <c r="J31" s="66">
        <f t="shared" si="3"/>
      </c>
      <c r="K31" s="61"/>
      <c r="L31" s="66">
        <f>IF(D31="","",IF(AND(MONTH(D31)='04_DS_Nhan_Viec_Trong_Thang'!$C$2,YEAR(D31)='04_DS_Nhan_Viec_Trong_Thang'!$E$2),SUMPRODUCT(($D$2:D31&lt;&gt;"")*(MONTH($D$2:D31)='04_DS_Nhan_Viec_Trong_Thang'!$C$2)*(YEAR($D$2:D31)='04_DS_Nhan_Viec_Trong_Thang'!$E$2)),""))</f>
      </c>
      <c r="M31" s="65">
        <f t="shared" si="4"/>
      </c>
      <c r="N31" s="61" t="str">
        <f t="array" ref="N31">IF($B31="","",IF($J31="","Đang theo dõi",IF(OR(IFERROR(INDEX('05_Theo_Doi_Gio_Cong_7_Ngay'!$R:$R,MATCH($J31,'05_Theo_Doi_Gio_Cong_7_Ngay'!$B:$B,0)),"")="",IFERROR(INDEX('05_Theo_Doi_Gio_Cong_7_Ngay'!$R:$R,MATCH($J31,'05_Theo_Doi_Gio_Cong_7_Ngay'!$B:$B,0)),0)=0),"Đang theo dõi",IFERROR(INDEX('06_DS_Chinh_Thuc'!$K:$K,MATCH(IFERROR(INDEX('05_Theo_Doi_Gio_Cong_7_Ngay'!$R:$R,MATCH($J31,'05_Theo_Doi_Gio_Cong_7_Ngay'!$B:$B,0)),0),'06_DS_Chinh_Thuc'!$B:$B,0)),"Đang theo dõi"))))</f>
        <v>Đang theo dõi</v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ht="14.25" customHeight="1" spans="1:26" x14ac:dyDescent="0.25">
      <c r="A32" s="66">
        <f t="shared" si="0"/>
        <v>31</v>
      </c>
      <c r="B32" s="66" t="s">
        <v>525</v>
      </c>
      <c r="C32" s="66" t="str">
        <f t="array" ref="C32">IF(B32="","",IFERROR(INDEX('01_UngVien_PhongVan'!$D:$D,MATCH(B32,'01_UngVien_PhongVan'!$B:$B,0)),"Không tìm thấy mã ứng viên"))</f>
        <v>Lê Thị Mỹ Lệ</v>
      </c>
      <c r="D32" s="67">
        <f t="array" ref="D32">IF(B32="","",IFERROR(INDEX('01_UngVien_PhongVan'!$AZ:$AZ,MATCH(B32,'01_UngVien_PhongVan'!$B:$B,0)),""))</f>
        <v>46260</v>
      </c>
      <c r="E32" s="68"/>
      <c r="F32" s="66" t="str">
        <f t="shared" si="1"/>
        <v>❌ Không đến nhận việc (quá hẹn)</v>
      </c>
      <c r="G32" s="67">
        <f t="shared" si="2"/>
      </c>
      <c r="H32" s="61"/>
      <c r="I32" s="61"/>
      <c r="J32" s="66">
        <f t="shared" si="3"/>
      </c>
      <c r="K32" s="61"/>
      <c r="L32" s="66">
        <f>IF(D32="","",IF(AND(MONTH(D32)='04_DS_Nhan_Viec_Trong_Thang'!$C$2,YEAR(D32)='04_DS_Nhan_Viec_Trong_Thang'!$E$2),SUMPRODUCT(($D$2:D32&lt;&gt;"")*(MONTH($D$2:D32)='04_DS_Nhan_Viec_Trong_Thang'!$C$2)*(YEAR($D$2:D32)='04_DS_Nhan_Viec_Trong_Thang'!$E$2)),""))</f>
      </c>
      <c r="M32" s="65">
        <f t="shared" si="4"/>
      </c>
      <c r="N32" s="61" t="str">
        <f t="array" ref="N32">IF($B32="","",IF($J32="","Đang theo dõi",IF(OR(IFERROR(INDEX('05_Theo_Doi_Gio_Cong_7_Ngay'!$R:$R,MATCH($J32,'05_Theo_Doi_Gio_Cong_7_Ngay'!$B:$B,0)),"")="",IFERROR(INDEX('05_Theo_Doi_Gio_Cong_7_Ngay'!$R:$R,MATCH($J32,'05_Theo_Doi_Gio_Cong_7_Ngay'!$B:$B,0)),0)=0),"Đang theo dõi",IFERROR(INDEX('06_DS_Chinh_Thuc'!$K:$K,MATCH(IFERROR(INDEX('05_Theo_Doi_Gio_Cong_7_Ngay'!$R:$R,MATCH($J32,'05_Theo_Doi_Gio_Cong_7_Ngay'!$B:$B,0)),0),'06_DS_Chinh_Thuc'!$B:$B,0)),"Đang theo dõi"))))</f>
        <v>Đang theo dõi</v>
      </c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ht="14.25" customHeight="1" spans="1:26" x14ac:dyDescent="0.25">
      <c r="A33" s="66">
        <f t="shared" si="0"/>
        <v>32</v>
      </c>
      <c r="B33" s="66" t="s">
        <v>526</v>
      </c>
      <c r="C33" s="66" t="str">
        <f t="array" ref="C33">IF(B33="","",IFERROR(INDEX('01_UngVien_PhongVan'!$D:$D,MATCH(B33,'01_UngVien_PhongVan'!$B:$B,0)),"Không tìm thấy mã ứng viên"))</f>
        <v>Nguyễn Thị Cẩm Hương</v>
      </c>
      <c r="D33" s="67">
        <f t="array" ref="D33">IF(B33="","",IFERROR(INDEX('01_UngVien_PhongVan'!$AZ:$AZ,MATCH(B33,'01_UngVien_PhongVan'!$B:$B,0)),""))</f>
        <v>46260</v>
      </c>
      <c r="E33" s="68"/>
      <c r="F33" s="66" t="str">
        <f t="shared" si="1"/>
        <v>❌ Không đến nhận việc (quá hẹn)</v>
      </c>
      <c r="G33" s="67">
        <f t="shared" si="2"/>
      </c>
      <c r="H33" s="61"/>
      <c r="I33" s="61"/>
      <c r="J33" s="66">
        <f t="shared" si="3"/>
      </c>
      <c r="K33" s="61"/>
      <c r="L33" s="66">
        <f>IF(D33="","",IF(AND(MONTH(D33)='04_DS_Nhan_Viec_Trong_Thang'!$C$2,YEAR(D33)='04_DS_Nhan_Viec_Trong_Thang'!$E$2),SUMPRODUCT(($D$2:D33&lt;&gt;"")*(MONTH($D$2:D33)='04_DS_Nhan_Viec_Trong_Thang'!$C$2)*(YEAR($D$2:D33)='04_DS_Nhan_Viec_Trong_Thang'!$E$2)),""))</f>
      </c>
      <c r="M33" s="65">
        <f t="shared" si="4"/>
      </c>
      <c r="N33" s="61" t="str">
        <f t="array" ref="N33">IF($B33="","",IF($J33="","Đang theo dõi",IF(OR(IFERROR(INDEX('05_Theo_Doi_Gio_Cong_7_Ngay'!$R:$R,MATCH($J33,'05_Theo_Doi_Gio_Cong_7_Ngay'!$B:$B,0)),"")="",IFERROR(INDEX('05_Theo_Doi_Gio_Cong_7_Ngay'!$R:$R,MATCH($J33,'05_Theo_Doi_Gio_Cong_7_Ngay'!$B:$B,0)),0)=0),"Đang theo dõi",IFERROR(INDEX('06_DS_Chinh_Thuc'!$K:$K,MATCH(IFERROR(INDEX('05_Theo_Doi_Gio_Cong_7_Ngay'!$R:$R,MATCH($J33,'05_Theo_Doi_Gio_Cong_7_Ngay'!$B:$B,0)),0),'06_DS_Chinh_Thuc'!$B:$B,0)),"Đang theo dõi"))))</f>
        <v>Đang theo dõi</v>
      </c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ht="14.25" customHeight="1" spans="1:26" x14ac:dyDescent="0.25">
      <c r="A34" s="66">
        <f t="shared" si="0"/>
        <v>33</v>
      </c>
      <c r="B34" s="66" t="s">
        <v>527</v>
      </c>
      <c r="C34" s="66" t="str">
        <f t="array" ref="C34">IF(B34="","",IFERROR(INDEX('01_UngVien_PhongVan'!$D:$D,MATCH(B34,'01_UngVien_PhongVan'!$B:$B,0)),"Không tìm thấy mã ứng viên"))</f>
        <v>Nguyễn Văn Triết</v>
      </c>
      <c r="D34" s="67">
        <f t="array" ref="D34">IF(B34="","",IFERROR(INDEX('01_UngVien_PhongVan'!$AZ:$AZ,MATCH(B34,'01_UngVien_PhongVan'!$B:$B,0)),""))</f>
        <v>46268</v>
      </c>
      <c r="E34" s="68">
        <v>46268</v>
      </c>
      <c r="F34" s="66" t="str">
        <f t="shared" si="1"/>
        <v>✅ Đã nhận việc - Đúng hẹn</v>
      </c>
      <c r="G34" s="67">
        <f t="shared" si="2"/>
        <v>46279</v>
      </c>
      <c r="H34" s="61"/>
      <c r="I34" s="61"/>
      <c r="J34" s="66" t="str">
        <f t="shared" si="3"/>
        <v>NV019</v>
      </c>
      <c r="K34" s="61"/>
      <c r="L34" s="66">
        <f>IF(D34="","",IF(AND(MONTH(D34)='04_DS_Nhan_Viec_Trong_Thang'!$C$2,YEAR(D34)='04_DS_Nhan_Viec_Trong_Thang'!$E$2),SUMPRODUCT(($D$2:D34&lt;&gt;"")*(MONTH($D$2:D34)='04_DS_Nhan_Viec_Trong_Thang'!$C$2)*(YEAR($D$2:D34)='04_DS_Nhan_Viec_Trong_Thang'!$E$2)),""))</f>
        <v>1</v>
      </c>
      <c r="M34" s="65">
        <f t="shared" si="4"/>
        <v>19</v>
      </c>
      <c r="N34" s="61" t="str">
        <f t="array" ref="N34">IF($B34="","",IF($J34="","Đang theo dõi",IF(OR(IFERROR(INDEX('05_Theo_Doi_Gio_Cong_7_Ngay'!$R:$R,MATCH($J34,'05_Theo_Doi_Gio_Cong_7_Ngay'!$B:$B,0)),"")="",IFERROR(INDEX('05_Theo_Doi_Gio_Cong_7_Ngay'!$R:$R,MATCH($J34,'05_Theo_Doi_Gio_Cong_7_Ngay'!$B:$B,0)),0)=0),"Đang theo dõi",IFERROR(INDEX('06_DS_Chinh_Thuc'!$K:$K,MATCH(IFERROR(INDEX('05_Theo_Doi_Gio_Cong_7_Ngay'!$R:$R,MATCH($J34,'05_Theo_Doi_Gio_Cong_7_Ngay'!$B:$B,0)),0),'06_DS_Chinh_Thuc'!$B:$B,0)),"Đang theo dõi"))))</f>
        <v>Đang theo dõi</v>
      </c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ht="14.25" customHeight="1" spans="1:26" x14ac:dyDescent="0.25">
      <c r="A35" s="66">
        <f t="shared" si="0"/>
        <v>34</v>
      </c>
      <c r="B35" s="66" t="s">
        <v>528</v>
      </c>
      <c r="C35" s="66" t="str">
        <f t="array" ref="C35">IF(B35="","",IFERROR(INDEX('01_UngVien_PhongVan'!$D:$D,MATCH(B35,'01_UngVien_PhongVan'!$B:$B,0)),"Không tìm thấy mã ứng viên"))</f>
        <v>Trần Thị Thuỳ</v>
      </c>
      <c r="D35" s="67">
        <f t="array" ref="D35">IF(B35="","",IFERROR(INDEX('01_UngVien_PhongVan'!$AZ:$AZ,MATCH(B35,'01_UngVien_PhongVan'!$B:$B,0)),""))</f>
        <v>46268</v>
      </c>
      <c r="E35" s="68">
        <v>46268</v>
      </c>
      <c r="F35" s="66" t="str">
        <f t="shared" si="1"/>
        <v>✅ Đã nhận việc - Đúng hẹn</v>
      </c>
      <c r="G35" s="67">
        <f t="shared" si="2"/>
        <v>46279</v>
      </c>
      <c r="H35" s="61"/>
      <c r="I35" s="61"/>
      <c r="J35" s="66" t="str">
        <f t="shared" si="3"/>
        <v>NV020</v>
      </c>
      <c r="K35" s="61"/>
      <c r="L35" s="66">
        <f>IF(D35="","",IF(AND(MONTH(D35)='04_DS_Nhan_Viec_Trong_Thang'!$C$2,YEAR(D35)='04_DS_Nhan_Viec_Trong_Thang'!$E$2),SUMPRODUCT(($D$2:D35&lt;&gt;"")*(MONTH($D$2:D35)='04_DS_Nhan_Viec_Trong_Thang'!$C$2)*(YEAR($D$2:D35)='04_DS_Nhan_Viec_Trong_Thang'!$E$2)),""))</f>
        <v>2</v>
      </c>
      <c r="M35" s="65">
        <f t="shared" si="4"/>
        <v>20</v>
      </c>
      <c r="N35" s="61" t="str">
        <f t="array" ref="N35">IF($B35="","",IF($J35="","Đang theo dõi",IF(OR(IFERROR(INDEX('05_Theo_Doi_Gio_Cong_7_Ngay'!$R:$R,MATCH($J35,'05_Theo_Doi_Gio_Cong_7_Ngay'!$B:$B,0)),"")="",IFERROR(INDEX('05_Theo_Doi_Gio_Cong_7_Ngay'!$R:$R,MATCH($J35,'05_Theo_Doi_Gio_Cong_7_Ngay'!$B:$B,0)),0)=0),"Đang theo dõi",IFERROR(INDEX('06_DS_Chinh_Thuc'!$K:$K,MATCH(IFERROR(INDEX('05_Theo_Doi_Gio_Cong_7_Ngay'!$R:$R,MATCH($J35,'05_Theo_Doi_Gio_Cong_7_Ngay'!$B:$B,0)),0),'06_DS_Chinh_Thuc'!$B:$B,0)),"Đang theo dõi"))))</f>
        <v>Đang theo dõi</v>
      </c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ht="14.25" customHeight="1" spans="1:26" x14ac:dyDescent="0.25">
      <c r="A36" s="66">
        <f t="shared" si="0"/>
        <v>35</v>
      </c>
      <c r="B36" s="61" t="s">
        <v>529</v>
      </c>
      <c r="C36" s="66" t="str">
        <f t="array" ref="C36">IF(B36="","",IFERROR(INDEX('01_UngVien_PhongVan'!$D:$D,MATCH(B36,'01_UngVien_PhongVan'!$B:$B,0)),"Không tìm thấy mã ứng viên"))</f>
        <v>Nguyễn Tuyết Ngân</v>
      </c>
      <c r="D36" s="67">
        <f t="array" ref="D36">IF(B36="","",IFERROR(INDEX('01_UngVien_PhongVan'!$AZ:$AZ,MATCH(B36,'01_UngVien_PhongVan'!$B:$B,0)),""))</f>
        <v>46269</v>
      </c>
      <c r="E36" s="68">
        <v>46270</v>
      </c>
      <c r="F36" s="66" t="str">
        <f t="shared" si="1"/>
        <v>⚠ Đã nhận việc - Trễ 1 ngày</v>
      </c>
      <c r="G36" s="67">
        <f t="shared" si="2"/>
        <v>46280</v>
      </c>
      <c r="H36" s="61"/>
      <c r="I36" s="61" t="s">
        <v>279</v>
      </c>
      <c r="J36" s="66" t="str">
        <f t="shared" si="3"/>
        <v>NV021</v>
      </c>
      <c r="K36" s="61"/>
      <c r="L36" s="66">
        <f>IF(D36="","",IF(AND(MONTH(D36)='04_DS_Nhan_Viec_Trong_Thang'!$C$2,YEAR(D36)='04_DS_Nhan_Viec_Trong_Thang'!$E$2),SUMPRODUCT(($D$2:D36&lt;&gt;"")*(MONTH($D$2:D36)='04_DS_Nhan_Viec_Trong_Thang'!$C$2)*(YEAR($D$2:D36)='04_DS_Nhan_Viec_Trong_Thang'!$E$2)),""))</f>
        <v>3</v>
      </c>
      <c r="M36" s="65">
        <f t="shared" si="4"/>
        <v>21</v>
      </c>
      <c r="N36" s="61" t="str">
        <f t="array" ref="N36">IF($B36="","",IF($J36="","Đang theo dõi",IF(OR(IFERROR(INDEX('05_Theo_Doi_Gio_Cong_7_Ngay'!$R:$R,MATCH($J36,'05_Theo_Doi_Gio_Cong_7_Ngay'!$B:$B,0)),"")="",IFERROR(INDEX('05_Theo_Doi_Gio_Cong_7_Ngay'!$R:$R,MATCH($J36,'05_Theo_Doi_Gio_Cong_7_Ngay'!$B:$B,0)),0)=0),"Đang theo dõi",IFERROR(INDEX('06_DS_Chinh_Thuc'!$K:$K,MATCH(IFERROR(INDEX('05_Theo_Doi_Gio_Cong_7_Ngay'!$R:$R,MATCH($J36,'05_Theo_Doi_Gio_Cong_7_Ngay'!$B:$B,0)),0),'06_DS_Chinh_Thuc'!$B:$B,0)),"Đang theo dõi"))))</f>
        <v>Đang theo dõi</v>
      </c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ht="14.25" customHeight="1" spans="1:26" x14ac:dyDescent="0.25">
      <c r="A37" s="66">
        <f t="shared" si="0"/>
        <v>36</v>
      </c>
      <c r="B37" s="61" t="s">
        <v>530</v>
      </c>
      <c r="C37" s="66" t="str">
        <f t="array" ref="C37">IF(B37="","",IFERROR(INDEX('01_UngVien_PhongVan'!$D:$D,MATCH(B37,'01_UngVien_PhongVan'!$B:$B,0)),"Không tìm thấy mã ứng viên"))</f>
        <v>Thạch Thị Giàu</v>
      </c>
      <c r="D37" s="67">
        <f t="array" ref="D37">IF(B37="","",IFERROR(INDEX('01_UngVien_PhongVan'!$AZ:$AZ,MATCH(B37,'01_UngVien_PhongVan'!$B:$B,0)),""))</f>
        <v>46269</v>
      </c>
      <c r="E37" s="68">
        <v>46270</v>
      </c>
      <c r="F37" s="66" t="str">
        <f t="shared" si="1"/>
        <v>⚠ Đã nhận việc - Trễ 1 ngày</v>
      </c>
      <c r="G37" s="67">
        <f t="shared" si="2"/>
        <v>46280</v>
      </c>
      <c r="H37" s="61"/>
      <c r="I37" s="61" t="s">
        <v>279</v>
      </c>
      <c r="J37" s="66" t="str">
        <f t="shared" si="3"/>
        <v>NV022</v>
      </c>
      <c r="K37" s="61"/>
      <c r="L37" s="66">
        <f>IF(D37="","",IF(AND(MONTH(D37)='04_DS_Nhan_Viec_Trong_Thang'!$C$2,YEAR(D37)='04_DS_Nhan_Viec_Trong_Thang'!$E$2),SUMPRODUCT(($D$2:D37&lt;&gt;"")*(MONTH($D$2:D37)='04_DS_Nhan_Viec_Trong_Thang'!$C$2)*(YEAR($D$2:D37)='04_DS_Nhan_Viec_Trong_Thang'!$E$2)),""))</f>
        <v>4</v>
      </c>
      <c r="M37" s="65">
        <f t="shared" si="4"/>
        <v>22</v>
      </c>
      <c r="N37" s="61" t="str">
        <f t="array" ref="N37">IF($B37="","",IF($J37="","Đang theo dõi",IF(OR(IFERROR(INDEX('05_Theo_Doi_Gio_Cong_7_Ngay'!$R:$R,MATCH($J37,'05_Theo_Doi_Gio_Cong_7_Ngay'!$B:$B,0)),"")="",IFERROR(INDEX('05_Theo_Doi_Gio_Cong_7_Ngay'!$R:$R,MATCH($J37,'05_Theo_Doi_Gio_Cong_7_Ngay'!$B:$B,0)),0)=0),"Đang theo dõi",IFERROR(INDEX('06_DS_Chinh_Thuc'!$K:$K,MATCH(IFERROR(INDEX('05_Theo_Doi_Gio_Cong_7_Ngay'!$R:$R,MATCH($J37,'05_Theo_Doi_Gio_Cong_7_Ngay'!$B:$B,0)),0),'06_DS_Chinh_Thuc'!$B:$B,0)),"Đang theo dõi"))))</f>
        <v>Đang theo dõi</v>
      </c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ht="14.25" customHeight="1" spans="1:26" x14ac:dyDescent="0.25">
      <c r="A38" s="66">
        <f t="shared" si="0"/>
        <v>37</v>
      </c>
      <c r="B38" s="61" t="s">
        <v>49</v>
      </c>
      <c r="C38" s="66" t="str">
        <f t="array" ref="C38">IF(B38="","",IFERROR(INDEX('01_UngVien_PhongVan'!$D:$D,MATCH(B38,'01_UngVien_PhongVan'!$B:$B,0)),"Không tìm thấy mã ứng viên"))</f>
        <v>Nguyễn Văn Mỹ</v>
      </c>
      <c r="D38" s="67">
        <f t="array" ref="D38">IF(B38="","",IFERROR(INDEX('01_UngVien_PhongVan'!$AZ:$AZ,MATCH(B38,'01_UngVien_PhongVan'!$B:$B,0)),""))</f>
        <v>46270</v>
      </c>
      <c r="E38" s="68"/>
      <c r="F38" s="66" t="str">
        <f t="shared" si="1"/>
        <v>⏳ Hôm nay là ngày hẹn - Chờ xác nhận</v>
      </c>
      <c r="G38" s="67">
        <f t="shared" si="2"/>
      </c>
      <c r="H38" s="61"/>
      <c r="I38" s="61"/>
      <c r="J38" s="66">
        <f t="shared" si="3"/>
      </c>
      <c r="K38" s="61"/>
      <c r="L38" s="66">
        <f>IF(D38="","",IF(AND(MONTH(D38)='04_DS_Nhan_Viec_Trong_Thang'!$C$2,YEAR(D38)='04_DS_Nhan_Viec_Trong_Thang'!$E$2),SUMPRODUCT(($D$2:D38&lt;&gt;"")*(MONTH($D$2:D38)='04_DS_Nhan_Viec_Trong_Thang'!$C$2)*(YEAR($D$2:D38)='04_DS_Nhan_Viec_Trong_Thang'!$E$2)),""))</f>
        <v>5</v>
      </c>
      <c r="M38" s="65">
        <f t="shared" si="4"/>
      </c>
      <c r="N38" s="61" t="str">
        <f t="array" ref="N38">IF($B38="","",IF($J38="","Đang theo dõi",IF(OR(IFERROR(INDEX('05_Theo_Doi_Gio_Cong_7_Ngay'!$R:$R,MATCH($J38,'05_Theo_Doi_Gio_Cong_7_Ngay'!$B:$B,0)),"")="",IFERROR(INDEX('05_Theo_Doi_Gio_Cong_7_Ngay'!$R:$R,MATCH($J38,'05_Theo_Doi_Gio_Cong_7_Ngay'!$B:$B,0)),0)=0),"Đang theo dõi",IFERROR(INDEX('06_DS_Chinh_Thuc'!$K:$K,MATCH(IFERROR(INDEX('05_Theo_Doi_Gio_Cong_7_Ngay'!$R:$R,MATCH($J38,'05_Theo_Doi_Gio_Cong_7_Ngay'!$B:$B,0)),0),'06_DS_Chinh_Thuc'!$B:$B,0)),"Đang theo dõi"))))</f>
        <v>Đang theo dõi</v>
      </c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ht="14.25" customHeight="1" spans="1:26" x14ac:dyDescent="0.25">
      <c r="A39" s="66">
        <f t="shared" si="0"/>
        <v>38</v>
      </c>
      <c r="B39" s="61" t="s">
        <v>531</v>
      </c>
      <c r="C39" s="66" t="str">
        <f t="array" ref="C39">IF(B39="","",IFERROR(INDEX('01_UngVien_PhongVan'!$D:$D,MATCH(B39,'01_UngVien_PhongVan'!$B:$B,0)),"Không tìm thấy mã ứng viên"))</f>
        <v>Đỗ Trần Mỹ Trúc</v>
      </c>
      <c r="D39" s="67">
        <f t="array" ref="D39">IF(B39="","",IFERROR(INDEX('01_UngVien_PhongVan'!$AZ:$AZ,MATCH(B39,'01_UngVien_PhongVan'!$B:$B,0)),""))</f>
        <v>46272</v>
      </c>
      <c r="E39" s="68"/>
      <c r="F39" s="66" t="str">
        <f t="shared" si="1"/>
        <v>🕓 Chưa đến ngày hẹn</v>
      </c>
      <c r="G39" s="67">
        <f t="shared" si="2"/>
      </c>
      <c r="H39" s="61"/>
      <c r="I39" s="61"/>
      <c r="J39" s="66">
        <f t="shared" si="3"/>
      </c>
      <c r="K39" s="61"/>
      <c r="L39" s="66">
        <f>IF(D39="","",IF(AND(MONTH(D39)='04_DS_Nhan_Viec_Trong_Thang'!$C$2,YEAR(D39)='04_DS_Nhan_Viec_Trong_Thang'!$E$2),SUMPRODUCT(($D$2:D39&lt;&gt;"")*(MONTH($D$2:D39)='04_DS_Nhan_Viec_Trong_Thang'!$C$2)*(YEAR($D$2:D39)='04_DS_Nhan_Viec_Trong_Thang'!$E$2)),""))</f>
        <v>6</v>
      </c>
      <c r="M39" s="65">
        <f t="shared" si="4"/>
      </c>
      <c r="N39" s="61" t="str">
        <f t="array" ref="N39">IF($B39="","",IF($J39="","Đang theo dõi",IF(OR(IFERROR(INDEX('05_Theo_Doi_Gio_Cong_7_Ngay'!$R:$R,MATCH($J39,'05_Theo_Doi_Gio_Cong_7_Ngay'!$B:$B,0)),"")="",IFERROR(INDEX('05_Theo_Doi_Gio_Cong_7_Ngay'!$R:$R,MATCH($J39,'05_Theo_Doi_Gio_Cong_7_Ngay'!$B:$B,0)),0)=0),"Đang theo dõi",IFERROR(INDEX('06_DS_Chinh_Thuc'!$K:$K,MATCH(IFERROR(INDEX('05_Theo_Doi_Gio_Cong_7_Ngay'!$R:$R,MATCH($J39,'05_Theo_Doi_Gio_Cong_7_Ngay'!$B:$B,0)),0),'06_DS_Chinh_Thuc'!$B:$B,0)),"Đang theo dõi"))))</f>
        <v>Đang theo dõi</v>
      </c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ht="14.25" customHeight="1" spans="1:26" x14ac:dyDescent="0.25">
      <c r="A40" s="66">
        <f t="shared" si="0"/>
        <v>39</v>
      </c>
      <c r="B40" s="61" t="s">
        <v>532</v>
      </c>
      <c r="C40" s="66" t="str">
        <f t="array" ref="C40">IF(B40="","",IFERROR(INDEX('01_UngVien_PhongVan'!$D:$D,MATCH(B40,'01_UngVien_PhongVan'!$B:$B,0)),"Không tìm thấy mã ứng viên"))</f>
        <v>Trần Nguyễn Văn Mạnh</v>
      </c>
      <c r="D40" s="67">
        <f t="array" ref="D40">IF(B40="","",IFERROR(INDEX('01_UngVien_PhongVan'!$AZ:$AZ,MATCH(B40,'01_UngVien_PhongVan'!$B:$B,0)),""))</f>
        <v>46270</v>
      </c>
      <c r="E40" s="68">
        <v>46270</v>
      </c>
      <c r="F40" s="66" t="str">
        <f t="shared" si="1"/>
        <v>✅ Đã nhận việc - Đúng hẹn</v>
      </c>
      <c r="G40" s="67">
        <f t="shared" si="2"/>
        <v>46280</v>
      </c>
      <c r="H40" s="61" t="s">
        <v>303</v>
      </c>
      <c r="I40" s="61" t="s">
        <v>303</v>
      </c>
      <c r="J40" s="66" t="str">
        <f t="shared" si="3"/>
        <v>NV023</v>
      </c>
      <c r="K40" s="61"/>
      <c r="L40" s="66">
        <f>IF(D40="","",IF(AND(MONTH(D40)='04_DS_Nhan_Viec_Trong_Thang'!$C$2,YEAR(D40)='04_DS_Nhan_Viec_Trong_Thang'!$E$2),SUMPRODUCT(($D$2:D40&lt;&gt;"")*(MONTH($D$2:D40)='04_DS_Nhan_Viec_Trong_Thang'!$C$2)*(YEAR($D$2:D40)='04_DS_Nhan_Viec_Trong_Thang'!$E$2)),""))</f>
        <v>7</v>
      </c>
      <c r="M40" s="65">
        <f t="shared" si="4"/>
        <v>23</v>
      </c>
      <c r="N40" s="61" t="str">
        <f t="array" ref="N40">IF($B40="","",IF($J40="","Đang theo dõi",IF(OR(IFERROR(INDEX('05_Theo_Doi_Gio_Cong_7_Ngay'!$R:$R,MATCH($J40,'05_Theo_Doi_Gio_Cong_7_Ngay'!$B:$B,0)),"")="",IFERROR(INDEX('05_Theo_Doi_Gio_Cong_7_Ngay'!$R:$R,MATCH($J40,'05_Theo_Doi_Gio_Cong_7_Ngay'!$B:$B,0)),0)=0),"Đang theo dõi",IFERROR(INDEX('06_DS_Chinh_Thuc'!$K:$K,MATCH(IFERROR(INDEX('05_Theo_Doi_Gio_Cong_7_Ngay'!$R:$R,MATCH($J40,'05_Theo_Doi_Gio_Cong_7_Ngay'!$B:$B,0)),0),'06_DS_Chinh_Thuc'!$B:$B,0)),"Đang theo dõi"))))</f>
        <v>Đang theo dõi</v>
      </c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ht="14.25" customHeight="1" spans="1:26" x14ac:dyDescent="0.25">
      <c r="A41" s="66">
        <f t="shared" si="0"/>
        <v>40</v>
      </c>
      <c r="B41" s="61" t="s">
        <v>69</v>
      </c>
      <c r="C41" s="66" t="str">
        <f t="array" ref="C41">IF(B41="","",IFERROR(INDEX('01_UngVien_PhongVan'!$D:$D,MATCH(B41,'01_UngVien_PhongVan'!$B:$B,0)),"Không tìm thấy mã ứng viên"))</f>
        <v>Võ Thị Tú Nhi</v>
      </c>
      <c r="D41" s="67">
        <f t="array" ref="D41">IF(B41="","",IFERROR(INDEX('01_UngVien_PhongVan'!$AZ:$AZ,MATCH(B41,'01_UngVien_PhongVan'!$B:$B,0)),""))</f>
        <v>46272</v>
      </c>
      <c r="E41" s="68"/>
      <c r="F41" s="66" t="str">
        <f t="shared" si="1"/>
        <v>🕓 Chưa đến ngày hẹn</v>
      </c>
      <c r="G41" s="67">
        <f t="shared" si="2"/>
      </c>
      <c r="H41" s="61"/>
      <c r="I41" s="61"/>
      <c r="J41" s="66">
        <f t="shared" si="3"/>
      </c>
      <c r="K41" s="61"/>
      <c r="L41" s="66">
        <f>IF(D41="","",IF(AND(MONTH(D41)='04_DS_Nhan_Viec_Trong_Thang'!$C$2,YEAR(D41)='04_DS_Nhan_Viec_Trong_Thang'!$E$2),SUMPRODUCT(($D$2:D41&lt;&gt;"")*(MONTH($D$2:D41)='04_DS_Nhan_Viec_Trong_Thang'!$C$2)*(YEAR($D$2:D41)='04_DS_Nhan_Viec_Trong_Thang'!$E$2)),""))</f>
        <v>8</v>
      </c>
      <c r="M41" s="65">
        <f t="shared" si="4"/>
      </c>
      <c r="N41" s="61" t="str">
        <f t="array" ref="N41">IF($B41="","",IF($J41="","Đang theo dõi",IF(OR(IFERROR(INDEX('05_Theo_Doi_Gio_Cong_7_Ngay'!$R:$R,MATCH($J41,'05_Theo_Doi_Gio_Cong_7_Ngay'!$B:$B,0)),"")="",IFERROR(INDEX('05_Theo_Doi_Gio_Cong_7_Ngay'!$R:$R,MATCH($J41,'05_Theo_Doi_Gio_Cong_7_Ngay'!$B:$B,0)),0)=0),"Đang theo dõi",IFERROR(INDEX('06_DS_Chinh_Thuc'!$K:$K,MATCH(IFERROR(INDEX('05_Theo_Doi_Gio_Cong_7_Ngay'!$R:$R,MATCH($J41,'05_Theo_Doi_Gio_Cong_7_Ngay'!$B:$B,0)),0),'06_DS_Chinh_Thuc'!$B:$B,0)),"Đang theo dõi"))))</f>
        <v>Đang theo dõi</v>
      </c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ht="14.25" customHeight="1" spans="1:26" x14ac:dyDescent="0.25">
      <c r="A42" s="66">
        <f t="shared" si="0"/>
        <v>41</v>
      </c>
      <c r="B42" s="61" t="s">
        <v>533</v>
      </c>
      <c r="C42" s="66" t="str">
        <f t="array" ref="C42">IF(B42="","",IFERROR(INDEX('01_UngVien_PhongVan'!$D:$D,MATCH(B42,'01_UngVien_PhongVan'!$B:$B,0)),"Không tìm thấy mã ứng viên"))</f>
        <v>Phạm Thị Hồng Ngân</v>
      </c>
      <c r="D42" s="67">
        <f t="array" ref="D42">IF(B42="","",IFERROR(INDEX('01_UngVien_PhongVan'!$AZ:$AZ,MATCH(B42,'01_UngVien_PhongVan'!$B:$B,0)),""))</f>
        <v>46272</v>
      </c>
      <c r="E42" s="68"/>
      <c r="F42" s="66" t="str">
        <f t="shared" si="1"/>
        <v>🕓 Chưa đến ngày hẹn</v>
      </c>
      <c r="G42" s="67">
        <f t="shared" si="2"/>
      </c>
      <c r="H42" s="61"/>
      <c r="I42" s="61"/>
      <c r="J42" s="66">
        <f t="shared" si="3"/>
      </c>
      <c r="K42" s="61"/>
      <c r="L42" s="66">
        <f>IF(D42="","",IF(AND(MONTH(D42)='04_DS_Nhan_Viec_Trong_Thang'!$C$2,YEAR(D42)='04_DS_Nhan_Viec_Trong_Thang'!$E$2),SUMPRODUCT(($D$2:D42&lt;&gt;"")*(MONTH($D$2:D42)='04_DS_Nhan_Viec_Trong_Thang'!$C$2)*(YEAR($D$2:D42)='04_DS_Nhan_Viec_Trong_Thang'!$E$2)),""))</f>
        <v>9</v>
      </c>
      <c r="M42" s="65">
        <f t="shared" si="4"/>
      </c>
      <c r="N42" s="61" t="s">
        <v>534</v>
      </c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ht="14.25" customHeight="1" spans="1:26" x14ac:dyDescent="0.25">
      <c r="A43" s="66">
        <f t="shared" si="0"/>
        <v>42</v>
      </c>
      <c r="B43" s="61" t="s">
        <v>535</v>
      </c>
      <c r="C43" s="66" t="str">
        <f t="array" ref="C43">IF(B43="","",IFERROR(INDEX('01_UngVien_PhongVan'!$D:$D,MATCH(B43,'01_UngVien_PhongVan'!$B:$B,0)),"Không tìm thấy mã ứng viên"))</f>
        <v>Nguyễn Văn Hối</v>
      </c>
      <c r="D43" s="67">
        <f t="array" ref="D43">IF(B43="","",IFERROR(INDEX('01_UngVien_PhongVan'!$AZ:$AZ,MATCH(B43,'01_UngVien_PhongVan'!$B:$B,0)),""))</f>
        <v>46272</v>
      </c>
      <c r="E43" s="68"/>
      <c r="F43" s="66" t="str">
        <f t="shared" si="1"/>
        <v>🕓 Chưa đến ngày hẹn</v>
      </c>
      <c r="G43" s="67">
        <f t="shared" si="2"/>
      </c>
      <c r="H43" s="61"/>
      <c r="I43" s="61"/>
      <c r="J43" s="66">
        <f t="shared" si="3"/>
      </c>
      <c r="K43" s="61"/>
      <c r="L43" s="66">
        <f>IF(D43="","",IF(AND(MONTH(D43)='04_DS_Nhan_Viec_Trong_Thang'!$C$2,YEAR(D43)='04_DS_Nhan_Viec_Trong_Thang'!$E$2),SUMPRODUCT(($D$2:D43&lt;&gt;"")*(MONTH($D$2:D43)='04_DS_Nhan_Viec_Trong_Thang'!$C$2)*(YEAR($D$2:D43)='04_DS_Nhan_Viec_Trong_Thang'!$E$2)),""))</f>
        <v>10</v>
      </c>
      <c r="M43" s="65">
        <f t="shared" si="4"/>
      </c>
      <c r="N43" s="61" t="str">
        <f t="array" ref="N43">IF($B43="","",IF($J43="","Đang theo dõi",IF(OR(IFERROR(INDEX('05_Theo_Doi_Gio_Cong_7_Ngay'!$R:$R,MATCH($J43,'05_Theo_Doi_Gio_Cong_7_Ngay'!$B:$B,0)),"")="",IFERROR(INDEX('05_Theo_Doi_Gio_Cong_7_Ngay'!$R:$R,MATCH($J43,'05_Theo_Doi_Gio_Cong_7_Ngay'!$B:$B,0)),0)=0),"Đang theo dõi",IFERROR(INDEX('06_DS_Chinh_Thuc'!$K:$K,MATCH(IFERROR(INDEX('05_Theo_Doi_Gio_Cong_7_Ngay'!$R:$R,MATCH($J43,'05_Theo_Doi_Gio_Cong_7_Ngay'!$B:$B,0)),0),'06_DS_Chinh_Thuc'!$B:$B,0)),"Đang theo dõi"))))</f>
        <v>Đang theo dõi</v>
      </c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ht="14.25" customHeight="1" spans="1:26" x14ac:dyDescent="0.25">
      <c r="A44" s="66">
        <f t="shared" si="0"/>
        <v>43</v>
      </c>
      <c r="B44" s="61" t="s">
        <v>536</v>
      </c>
      <c r="C44" s="66" t="str">
        <f t="array" ref="C44">IF(B44="","",IFERROR(INDEX('01_UngVien_PhongVan'!$D:$D,MATCH(B44,'01_UngVien_PhongVan'!$B:$B,0)),"Không tìm thấy mã ứng viên"))</f>
        <v>Nguyễn Thị Dứt</v>
      </c>
      <c r="D44" s="67">
        <f t="array" ref="D44">IF(B44="","",IFERROR(INDEX('01_UngVien_PhongVan'!$AZ:$AZ,MATCH(B44,'01_UngVien_PhongVan'!$B:$B,0)),""))</f>
        <v>46272</v>
      </c>
      <c r="E44" s="68"/>
      <c r="F44" s="66" t="str">
        <f t="shared" si="1"/>
        <v>🕓 Chưa đến ngày hẹn</v>
      </c>
      <c r="G44" s="67">
        <f t="shared" si="2"/>
      </c>
      <c r="H44" s="61"/>
      <c r="I44" s="61"/>
      <c r="J44" s="66">
        <f t="shared" si="3"/>
      </c>
      <c r="K44" s="61"/>
      <c r="L44" s="66">
        <f>IF(D44="","",IF(AND(MONTH(D44)='04_DS_Nhan_Viec_Trong_Thang'!$C$2,YEAR(D44)='04_DS_Nhan_Viec_Trong_Thang'!$E$2),SUMPRODUCT(($D$2:D44&lt;&gt;"")*(MONTH($D$2:D44)='04_DS_Nhan_Viec_Trong_Thang'!$C$2)*(YEAR($D$2:D44)='04_DS_Nhan_Viec_Trong_Thang'!$E$2)),""))</f>
        <v>11</v>
      </c>
      <c r="M44" s="65">
        <f t="shared" si="4"/>
      </c>
      <c r="N44" s="61" t="str">
        <f t="array" ref="N44">IF($B44="","",IF($J44="","Đang theo dõi",IF(OR(IFERROR(INDEX('05_Theo_Doi_Gio_Cong_7_Ngay'!$R:$R,MATCH($J44,'05_Theo_Doi_Gio_Cong_7_Ngay'!$B:$B,0)),"")="",IFERROR(INDEX('05_Theo_Doi_Gio_Cong_7_Ngay'!$R:$R,MATCH($J44,'05_Theo_Doi_Gio_Cong_7_Ngay'!$B:$B,0)),0)=0),"Đang theo dõi",IFERROR(INDEX('06_DS_Chinh_Thuc'!$K:$K,MATCH(IFERROR(INDEX('05_Theo_Doi_Gio_Cong_7_Ngay'!$R:$R,MATCH($J44,'05_Theo_Doi_Gio_Cong_7_Ngay'!$B:$B,0)),0),'06_DS_Chinh_Thuc'!$B:$B,0)),"Đang theo dõi"))))</f>
        <v>Đang theo dõi</v>
      </c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ht="14.25" customHeight="1" spans="1:26" x14ac:dyDescent="0.25">
      <c r="A45" s="66">
        <f t="shared" si="0"/>
        <v>44</v>
      </c>
      <c r="B45" s="61" t="s">
        <v>537</v>
      </c>
      <c r="C45" s="66" t="str">
        <f t="array" ref="C45">IF(B45="","",IFERROR(INDEX('01_UngVien_PhongVan'!$D:$D,MATCH(B45,'01_UngVien_PhongVan'!$B:$B,0)),"Không tìm thấy mã ứng viên"))</f>
        <v>Võ Thị Hồng Lệ</v>
      </c>
      <c r="D45" s="67">
        <f t="array" ref="D45">IF(B45="","",IFERROR(INDEX('01_UngVien_PhongVan'!$AZ:$AZ,MATCH(B45,'01_UngVien_PhongVan'!$B:$B,0)),""))</f>
        <v>46272</v>
      </c>
      <c r="E45" s="68"/>
      <c r="F45" s="66" t="str">
        <f t="shared" si="1"/>
        <v>🕓 Chưa đến ngày hẹn</v>
      </c>
      <c r="G45" s="67">
        <f t="shared" si="2"/>
      </c>
      <c r="H45" s="61"/>
      <c r="I45" s="61"/>
      <c r="J45" s="66">
        <f t="shared" si="3"/>
      </c>
      <c r="K45" s="61"/>
      <c r="L45" s="66">
        <f>IF(D45="","",IF(AND(MONTH(D45)='04_DS_Nhan_Viec_Trong_Thang'!$C$2,YEAR(D45)='04_DS_Nhan_Viec_Trong_Thang'!$E$2),SUMPRODUCT(($D$2:D45&lt;&gt;"")*(MONTH($D$2:D45)='04_DS_Nhan_Viec_Trong_Thang'!$C$2)*(YEAR($D$2:D45)='04_DS_Nhan_Viec_Trong_Thang'!$E$2)),""))</f>
        <v>12</v>
      </c>
      <c r="M45" s="65">
        <f t="shared" si="4"/>
      </c>
      <c r="N45" s="61" t="str">
        <f t="array" ref="N45">IF($B45="","",IF($J45="","Đang theo dõi",IF(OR(IFERROR(INDEX('05_Theo_Doi_Gio_Cong_7_Ngay'!$R:$R,MATCH($J45,'05_Theo_Doi_Gio_Cong_7_Ngay'!$B:$B,0)),"")="",IFERROR(INDEX('05_Theo_Doi_Gio_Cong_7_Ngay'!$R:$R,MATCH($J45,'05_Theo_Doi_Gio_Cong_7_Ngay'!$B:$B,0)),0)=0),"Đang theo dõi",IFERROR(INDEX('06_DS_Chinh_Thuc'!$K:$K,MATCH(IFERROR(INDEX('05_Theo_Doi_Gio_Cong_7_Ngay'!$R:$R,MATCH($J45,'05_Theo_Doi_Gio_Cong_7_Ngay'!$B:$B,0)),0),'06_DS_Chinh_Thuc'!$B:$B,0)),"Đang theo dõi"))))</f>
        <v>Đang theo dõi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ht="14.25" customHeight="1" spans="1:26" x14ac:dyDescent="0.25">
      <c r="A46" s="66">
        <f t="shared" si="0"/>
      </c>
      <c r="B46" s="61"/>
      <c r="C46" s="66">
        <f t="array" ref="C46">IF(B46="","",IFERROR(INDEX('01_UngVien_PhongVan'!$D:$D,MATCH(B46,'01_UngVien_PhongVan'!$B:$B,0)),"Không tìm thấy mã ứng viên"))</f>
      </c>
      <c r="D46" s="67">
        <f t="array" ref="D46">IF(B46="","",IFERROR(INDEX('01_UngVien_PhongVan'!$AZ:$AZ,MATCH(B46,'01_UngVien_PhongVan'!$B:$B,0)),""))</f>
      </c>
      <c r="E46" s="68"/>
      <c r="F46" s="66">
        <f t="shared" si="1"/>
      </c>
      <c r="G46" s="67">
        <f t="shared" si="2"/>
      </c>
      <c r="H46" s="61"/>
      <c r="I46" s="61"/>
      <c r="J46" s="66">
        <f t="shared" si="3"/>
      </c>
      <c r="K46" s="61"/>
      <c r="L46" s="66">
        <f>IF(D46="","",IF(AND(MONTH(D46)='04_DS_Nhan_Viec_Trong_Thang'!$C$2,YEAR(D46)='04_DS_Nhan_Viec_Trong_Thang'!$E$2),SUMPRODUCT(($D$2:D46&lt;&gt;"")*(MONTH($D$2:D46)='04_DS_Nhan_Viec_Trong_Thang'!$C$2)*(YEAR($D$2:D46)='04_DS_Nhan_Viec_Trong_Thang'!$E$2)),""))</f>
      </c>
      <c r="M46" s="65">
        <f t="shared" si="4"/>
      </c>
      <c r="N46" s="61">
        <f t="array" ref="N46">IF($B46="","",IF($J46="","Đang theo dõi",IF(OR(IFERROR(INDEX('05_Theo_Doi_Gio_Cong_7_Ngay'!$R:$R,MATCH($J46,'05_Theo_Doi_Gio_Cong_7_Ngay'!$B:$B,0)),"")="",IFERROR(INDEX('05_Theo_Doi_Gio_Cong_7_Ngay'!$R:$R,MATCH($J46,'05_Theo_Doi_Gio_Cong_7_Ngay'!$B:$B,0)),0)=0),"Đang theo dõi",IFERROR(INDEX('06_DS_Chinh_Thuc'!$K:$K,MATCH(IFERROR(INDEX('05_Theo_Doi_Gio_Cong_7_Ngay'!$R:$R,MATCH($J46,'05_Theo_Doi_Gio_Cong_7_Ngay'!$B:$B,0)),0),'06_DS_Chinh_Thuc'!$B:$B,0)),"Đang theo dõi"))))</f>
      </c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ht="14.25" customHeight="1" spans="1:26" x14ac:dyDescent="0.25">
      <c r="A47" s="66">
        <f t="shared" si="0"/>
      </c>
      <c r="B47" s="61"/>
      <c r="C47" s="66">
        <f t="array" ref="C47">IF(B47="","",IFERROR(INDEX('01_UngVien_PhongVan'!$D:$D,MATCH(B47,'01_UngVien_PhongVan'!$B:$B,0)),"Không tìm thấy mã ứng viên"))</f>
      </c>
      <c r="D47" s="67">
        <f t="array" ref="D47">IF(B47="","",IFERROR(INDEX('01_UngVien_PhongVan'!$AZ:$AZ,MATCH(B47,'01_UngVien_PhongVan'!$B:$B,0)),""))</f>
      </c>
      <c r="E47" s="68"/>
      <c r="F47" s="66">
        <f t="shared" si="1"/>
      </c>
      <c r="G47" s="67">
        <f t="shared" si="2"/>
      </c>
      <c r="H47" s="61"/>
      <c r="I47" s="61"/>
      <c r="J47" s="66">
        <f t="shared" si="3"/>
      </c>
      <c r="K47" s="61"/>
      <c r="L47" s="66">
        <f>IF(D47="","",IF(AND(MONTH(D47)='04_DS_Nhan_Viec_Trong_Thang'!$C$2,YEAR(D47)='04_DS_Nhan_Viec_Trong_Thang'!$E$2),SUMPRODUCT(($D$2:D47&lt;&gt;"")*(MONTH($D$2:D47)='04_DS_Nhan_Viec_Trong_Thang'!$C$2)*(YEAR($D$2:D47)='04_DS_Nhan_Viec_Trong_Thang'!$E$2)),""))</f>
      </c>
      <c r="M47" s="65">
        <f t="shared" si="4"/>
      </c>
      <c r="N47" s="61">
        <f t="array" ref="N47">IF($B47="","",IF($J47="","Đang theo dõi",IF(OR(IFERROR(INDEX('05_Theo_Doi_Gio_Cong_7_Ngay'!$R:$R,MATCH($J47,'05_Theo_Doi_Gio_Cong_7_Ngay'!$B:$B,0)),"")="",IFERROR(INDEX('05_Theo_Doi_Gio_Cong_7_Ngay'!$R:$R,MATCH($J47,'05_Theo_Doi_Gio_Cong_7_Ngay'!$B:$B,0)),0)=0),"Đang theo dõi",IFERROR(INDEX('06_DS_Chinh_Thuc'!$K:$K,MATCH(IFERROR(INDEX('05_Theo_Doi_Gio_Cong_7_Ngay'!$R:$R,MATCH($J47,'05_Theo_Doi_Gio_Cong_7_Ngay'!$B:$B,0)),0),'06_DS_Chinh_Thuc'!$B:$B,0)),"Đang theo dõi"))))</f>
      </c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ht="14.25" customHeight="1" spans="1:26" x14ac:dyDescent="0.25">
      <c r="A48" s="66">
        <f t="shared" si="0"/>
      </c>
      <c r="B48" s="61"/>
      <c r="C48" s="66">
        <f t="array" ref="C48">IF(B48="","",IFERROR(INDEX('01_UngVien_PhongVan'!$D:$D,MATCH(B48,'01_UngVien_PhongVan'!$B:$B,0)),"Không tìm thấy mã ứng viên"))</f>
      </c>
      <c r="D48" s="67">
        <f t="array" ref="D48">IF(B48="","",IFERROR(INDEX('01_UngVien_PhongVan'!$AZ:$AZ,MATCH(B48,'01_UngVien_PhongVan'!$B:$B,0)),""))</f>
      </c>
      <c r="E48" s="68"/>
      <c r="F48" s="66">
        <f t="shared" si="1"/>
      </c>
      <c r="G48" s="67">
        <f t="shared" si="2"/>
      </c>
      <c r="H48" s="61"/>
      <c r="I48" s="61"/>
      <c r="J48" s="66">
        <f t="shared" si="3"/>
      </c>
      <c r="K48" s="61"/>
      <c r="L48" s="66">
        <f>IF(D48="","",IF(AND(MONTH(D48)='04_DS_Nhan_Viec_Trong_Thang'!$C$2,YEAR(D48)='04_DS_Nhan_Viec_Trong_Thang'!$E$2),SUMPRODUCT(($D$2:D48&lt;&gt;"")*(MONTH($D$2:D48)='04_DS_Nhan_Viec_Trong_Thang'!$C$2)*(YEAR($D$2:D48)='04_DS_Nhan_Viec_Trong_Thang'!$E$2)),""))</f>
      </c>
      <c r="M48" s="65">
        <f t="shared" si="4"/>
      </c>
      <c r="N48" s="61">
        <f t="array" ref="N48">IF($B48="","",IF($J48="","Đang theo dõi",IF(OR(IFERROR(INDEX('05_Theo_Doi_Gio_Cong_7_Ngay'!$R:$R,MATCH($J48,'05_Theo_Doi_Gio_Cong_7_Ngay'!$B:$B,0)),"")="",IFERROR(INDEX('05_Theo_Doi_Gio_Cong_7_Ngay'!$R:$R,MATCH($J48,'05_Theo_Doi_Gio_Cong_7_Ngay'!$B:$B,0)),0)=0),"Đang theo dõi",IFERROR(INDEX('06_DS_Chinh_Thuc'!$K:$K,MATCH(IFERROR(INDEX('05_Theo_Doi_Gio_Cong_7_Ngay'!$R:$R,MATCH($J48,'05_Theo_Doi_Gio_Cong_7_Ngay'!$B:$B,0)),0),'06_DS_Chinh_Thuc'!$B:$B,0)),"Đang theo dõi"))))</f>
      </c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ht="14.25" customHeight="1" spans="1:26" x14ac:dyDescent="0.25">
      <c r="A49" s="66">
        <f t="shared" si="0"/>
      </c>
      <c r="B49" s="61"/>
      <c r="C49" s="66">
        <f t="array" ref="C49">IF(B49="","",IFERROR(INDEX('01_UngVien_PhongVan'!$D:$D,MATCH(B49,'01_UngVien_PhongVan'!$B:$B,0)),"Không tìm thấy mã ứng viên"))</f>
      </c>
      <c r="D49" s="67">
        <f t="array" ref="D49">IF(B49="","",IFERROR(INDEX('01_UngVien_PhongVan'!$AZ:$AZ,MATCH(B49,'01_UngVien_PhongVan'!$B:$B,0)),""))</f>
      </c>
      <c r="E49" s="68"/>
      <c r="F49" s="66">
        <f t="shared" si="1"/>
      </c>
      <c r="G49" s="67">
        <f t="shared" si="2"/>
      </c>
      <c r="H49" s="61"/>
      <c r="I49" s="61"/>
      <c r="J49" s="66">
        <f t="shared" si="3"/>
      </c>
      <c r="K49" s="61"/>
      <c r="L49" s="66">
        <f>IF(D49="","",IF(AND(MONTH(D49)='04_DS_Nhan_Viec_Trong_Thang'!$C$2,YEAR(D49)='04_DS_Nhan_Viec_Trong_Thang'!$E$2),SUMPRODUCT(($D$2:D49&lt;&gt;"")*(MONTH($D$2:D49)='04_DS_Nhan_Viec_Trong_Thang'!$C$2)*(YEAR($D$2:D49)='04_DS_Nhan_Viec_Trong_Thang'!$E$2)),""))</f>
      </c>
      <c r="M49" s="65">
        <f t="shared" si="4"/>
      </c>
      <c r="N49" s="61">
        <f t="array" ref="N49">IF($B49="","",IF($J49="","Đang theo dõi",IF(OR(IFERROR(INDEX('05_Theo_Doi_Gio_Cong_7_Ngay'!$R:$R,MATCH($J49,'05_Theo_Doi_Gio_Cong_7_Ngay'!$B:$B,0)),"")="",IFERROR(INDEX('05_Theo_Doi_Gio_Cong_7_Ngay'!$R:$R,MATCH($J49,'05_Theo_Doi_Gio_Cong_7_Ngay'!$B:$B,0)),0)=0),"Đang theo dõi",IFERROR(INDEX('06_DS_Chinh_Thuc'!$K:$K,MATCH(IFERROR(INDEX('05_Theo_Doi_Gio_Cong_7_Ngay'!$R:$R,MATCH($J49,'05_Theo_Doi_Gio_Cong_7_Ngay'!$B:$B,0)),0),'06_DS_Chinh_Thuc'!$B:$B,0)),"Đang theo dõi"))))</f>
      </c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ht="14.25" customHeight="1" spans="1:26" x14ac:dyDescent="0.25">
      <c r="A50" s="66">
        <f t="shared" si="0"/>
      </c>
      <c r="B50" s="61"/>
      <c r="C50" s="66">
        <f t="array" ref="C50">IF(B50="","",IFERROR(INDEX('01_UngVien_PhongVan'!$D:$D,MATCH(B50,'01_UngVien_PhongVan'!$B:$B,0)),"Không tìm thấy mã ứng viên"))</f>
      </c>
      <c r="D50" s="67">
        <f t="array" ref="D50">IF(B50="","",IFERROR(INDEX('01_UngVien_PhongVan'!$AZ:$AZ,MATCH(B50,'01_UngVien_PhongVan'!$B:$B,0)),""))</f>
      </c>
      <c r="E50" s="68"/>
      <c r="F50" s="66">
        <f t="shared" si="1"/>
      </c>
      <c r="G50" s="67">
        <f t="shared" si="2"/>
      </c>
      <c r="H50" s="61"/>
      <c r="I50" s="61"/>
      <c r="J50" s="66">
        <f t="shared" si="3"/>
      </c>
      <c r="K50" s="61"/>
      <c r="L50" s="66">
        <f>IF(D50="","",IF(AND(MONTH(D50)='04_DS_Nhan_Viec_Trong_Thang'!$C$2,YEAR(D50)='04_DS_Nhan_Viec_Trong_Thang'!$E$2),SUMPRODUCT(($D$2:D50&lt;&gt;"")*(MONTH($D$2:D50)='04_DS_Nhan_Viec_Trong_Thang'!$C$2)*(YEAR($D$2:D50)='04_DS_Nhan_Viec_Trong_Thang'!$E$2)),""))</f>
      </c>
      <c r="M50" s="65">
        <f t="shared" si="4"/>
      </c>
      <c r="N50" s="61">
        <f t="array" ref="N50">IF($B50="","",IF($J50="","Đang theo dõi",IF(OR(IFERROR(INDEX('05_Theo_Doi_Gio_Cong_7_Ngay'!$R:$R,MATCH($J50,'05_Theo_Doi_Gio_Cong_7_Ngay'!$B:$B,0)),"")="",IFERROR(INDEX('05_Theo_Doi_Gio_Cong_7_Ngay'!$R:$R,MATCH($J50,'05_Theo_Doi_Gio_Cong_7_Ngay'!$B:$B,0)),0)=0),"Đang theo dõi",IFERROR(INDEX('06_DS_Chinh_Thuc'!$K:$K,MATCH(IFERROR(INDEX('05_Theo_Doi_Gio_Cong_7_Ngay'!$R:$R,MATCH($J50,'05_Theo_Doi_Gio_Cong_7_Ngay'!$B:$B,0)),0),'06_DS_Chinh_Thuc'!$B:$B,0)),"Đang theo dõi"))))</f>
      </c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ht="14.25" customHeight="1" spans="1:26" x14ac:dyDescent="0.25">
      <c r="A51" s="66">
        <f t="shared" si="0"/>
      </c>
      <c r="B51" s="61"/>
      <c r="C51" s="66">
        <f t="array" ref="C51">IF(B51="","",IFERROR(INDEX('01_UngVien_PhongVan'!$D:$D,MATCH(B51,'01_UngVien_PhongVan'!$B:$B,0)),"Không tìm thấy mã ứng viên"))</f>
      </c>
      <c r="D51" s="67">
        <f t="array" ref="D51">IF(B51="","",IFERROR(INDEX('01_UngVien_PhongVan'!$AZ:$AZ,MATCH(B51,'01_UngVien_PhongVan'!$B:$B,0)),""))</f>
      </c>
      <c r="E51" s="68"/>
      <c r="F51" s="66">
        <f t="shared" si="1"/>
      </c>
      <c r="G51" s="67">
        <f t="shared" si="2"/>
      </c>
      <c r="H51" s="61"/>
      <c r="I51" s="61"/>
      <c r="J51" s="66">
        <f t="shared" si="3"/>
      </c>
      <c r="K51" s="61"/>
      <c r="L51" s="66">
        <f>IF(D51="","",IF(AND(MONTH(D51)='04_DS_Nhan_Viec_Trong_Thang'!$C$2,YEAR(D51)='04_DS_Nhan_Viec_Trong_Thang'!$E$2),SUMPRODUCT(($D$2:D51&lt;&gt;"")*(MONTH($D$2:D51)='04_DS_Nhan_Viec_Trong_Thang'!$C$2)*(YEAR($D$2:D51)='04_DS_Nhan_Viec_Trong_Thang'!$E$2)),""))</f>
      </c>
      <c r="M51" s="65">
        <f t="shared" si="4"/>
      </c>
      <c r="N51" s="61">
        <f t="array" ref="N51">IF($B51="","",IF($J51="","Đang theo dõi",IF(OR(IFERROR(INDEX('05_Theo_Doi_Gio_Cong_7_Ngay'!$R:$R,MATCH($J51,'05_Theo_Doi_Gio_Cong_7_Ngay'!$B:$B,0)),"")="",IFERROR(INDEX('05_Theo_Doi_Gio_Cong_7_Ngay'!$R:$R,MATCH($J51,'05_Theo_Doi_Gio_Cong_7_Ngay'!$B:$B,0)),0)=0),"Đang theo dõi",IFERROR(INDEX('06_DS_Chinh_Thuc'!$K:$K,MATCH(IFERROR(INDEX('05_Theo_Doi_Gio_Cong_7_Ngay'!$R:$R,MATCH($J51,'05_Theo_Doi_Gio_Cong_7_Ngay'!$B:$B,0)),0),'06_DS_Chinh_Thuc'!$B:$B,0)),"Đang theo dõi"))))</f>
      </c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ht="14.25" customHeight="1" spans="1:26" x14ac:dyDescent="0.25">
      <c r="A52" s="66">
        <f t="shared" si="0"/>
      </c>
      <c r="B52" s="61"/>
      <c r="C52" s="66">
        <f t="array" ref="C52">IF(B52="","",IFERROR(INDEX('01_UngVien_PhongVan'!$D:$D,MATCH(B52,'01_UngVien_PhongVan'!$B:$B,0)),"Không tìm thấy mã ứng viên"))</f>
      </c>
      <c r="D52" s="67">
        <f t="array" ref="D52">IF(B52="","",IFERROR(INDEX('01_UngVien_PhongVan'!$AZ:$AZ,MATCH(B52,'01_UngVien_PhongVan'!$B:$B,0)),""))</f>
      </c>
      <c r="E52" s="68"/>
      <c r="F52" s="66">
        <f t="shared" si="1"/>
      </c>
      <c r="G52" s="67">
        <f t="shared" si="2"/>
      </c>
      <c r="H52" s="61"/>
      <c r="I52" s="61"/>
      <c r="J52" s="66">
        <f t="shared" si="3"/>
      </c>
      <c r="K52" s="61"/>
      <c r="L52" s="66">
        <f>IF(D52="","",IF(AND(MONTH(D52)='04_DS_Nhan_Viec_Trong_Thang'!$C$2,YEAR(D52)='04_DS_Nhan_Viec_Trong_Thang'!$E$2),SUMPRODUCT(($D$2:D52&lt;&gt;"")*(MONTH($D$2:D52)='04_DS_Nhan_Viec_Trong_Thang'!$C$2)*(YEAR($D$2:D52)='04_DS_Nhan_Viec_Trong_Thang'!$E$2)),""))</f>
      </c>
      <c r="M52" s="65">
        <f t="shared" si="4"/>
      </c>
      <c r="N52" s="61">
        <f t="array" ref="N52">IF($B52="","",IF($J52="","Đang theo dõi",IF(OR(IFERROR(INDEX('05_Theo_Doi_Gio_Cong_7_Ngay'!$R:$R,MATCH($J52,'05_Theo_Doi_Gio_Cong_7_Ngay'!$B:$B,0)),"")="",IFERROR(INDEX('05_Theo_Doi_Gio_Cong_7_Ngay'!$R:$R,MATCH($J52,'05_Theo_Doi_Gio_Cong_7_Ngay'!$B:$B,0)),0)=0),"Đang theo dõi",IFERROR(INDEX('06_DS_Chinh_Thuc'!$K:$K,MATCH(IFERROR(INDEX('05_Theo_Doi_Gio_Cong_7_Ngay'!$R:$R,MATCH($J52,'05_Theo_Doi_Gio_Cong_7_Ngay'!$B:$B,0)),0),'06_DS_Chinh_Thuc'!$B:$B,0)),"Đang theo dõi"))))</f>
      </c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ht="14.25" customHeight="1" spans="1:26" x14ac:dyDescent="0.25">
      <c r="A53" s="66">
        <f t="shared" si="0"/>
      </c>
      <c r="B53" s="61"/>
      <c r="C53" s="66">
        <f t="array" ref="C53">IF(B53="","",IFERROR(INDEX('01_UngVien_PhongVan'!$D:$D,MATCH(B53,'01_UngVien_PhongVan'!$B:$B,0)),"Không tìm thấy mã ứng viên"))</f>
      </c>
      <c r="D53" s="67">
        <f t="array" ref="D53">IF(B53="","",IFERROR(INDEX('01_UngVien_PhongVan'!$AZ:$AZ,MATCH(B53,'01_UngVien_PhongVan'!$B:$B,0)),""))</f>
      </c>
      <c r="E53" s="68"/>
      <c r="F53" s="66">
        <f t="shared" si="1"/>
      </c>
      <c r="G53" s="67">
        <f t="shared" si="2"/>
      </c>
      <c r="H53" s="61"/>
      <c r="I53" s="61"/>
      <c r="J53" s="66">
        <f t="shared" si="3"/>
      </c>
      <c r="K53" s="61"/>
      <c r="L53" s="66">
        <f>IF(D53="","",IF(AND(MONTH(D53)='04_DS_Nhan_Viec_Trong_Thang'!$C$2,YEAR(D53)='04_DS_Nhan_Viec_Trong_Thang'!$E$2),SUMPRODUCT(($D$2:D53&lt;&gt;"")*(MONTH($D$2:D53)='04_DS_Nhan_Viec_Trong_Thang'!$C$2)*(YEAR($D$2:D53)='04_DS_Nhan_Viec_Trong_Thang'!$E$2)),""))</f>
      </c>
      <c r="M53" s="65">
        <f t="shared" si="4"/>
      </c>
      <c r="N53" s="61">
        <f t="array" ref="N53">IF($B53="","",IF($J53="","Đang theo dõi",IF(OR(IFERROR(INDEX('05_Theo_Doi_Gio_Cong_7_Ngay'!$R:$R,MATCH($J53,'05_Theo_Doi_Gio_Cong_7_Ngay'!$B:$B,0)),"")="",IFERROR(INDEX('05_Theo_Doi_Gio_Cong_7_Ngay'!$R:$R,MATCH($J53,'05_Theo_Doi_Gio_Cong_7_Ngay'!$B:$B,0)),0)=0),"Đang theo dõi",IFERROR(INDEX('06_DS_Chinh_Thuc'!$K:$K,MATCH(IFERROR(INDEX('05_Theo_Doi_Gio_Cong_7_Ngay'!$R:$R,MATCH($J53,'05_Theo_Doi_Gio_Cong_7_Ngay'!$B:$B,0)),0),'06_DS_Chinh_Thuc'!$B:$B,0)),"Đang theo dõi"))))</f>
      </c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ht="14.25" customHeight="1" spans="1:26" x14ac:dyDescent="0.25">
      <c r="A54" s="66">
        <f t="shared" si="0"/>
      </c>
      <c r="B54" s="61"/>
      <c r="C54" s="66">
        <f t="array" ref="C54">IF(B54="","",IFERROR(INDEX('01_UngVien_PhongVan'!$D:$D,MATCH(B54,'01_UngVien_PhongVan'!$B:$B,0)),"Không tìm thấy mã ứng viên"))</f>
      </c>
      <c r="D54" s="67">
        <f t="array" ref="D54">IF(B54="","",IFERROR(INDEX('01_UngVien_PhongVan'!$AZ:$AZ,MATCH(B54,'01_UngVien_PhongVan'!$B:$B,0)),""))</f>
      </c>
      <c r="E54" s="68"/>
      <c r="F54" s="66">
        <f t="shared" si="1"/>
      </c>
      <c r="G54" s="67">
        <f t="shared" si="2"/>
      </c>
      <c r="H54" s="61"/>
      <c r="I54" s="61"/>
      <c r="J54" s="66">
        <f t="shared" si="3"/>
      </c>
      <c r="K54" s="61"/>
      <c r="L54" s="66">
        <f>IF(D54="","",IF(AND(MONTH(D54)='04_DS_Nhan_Viec_Trong_Thang'!$C$2,YEAR(D54)='04_DS_Nhan_Viec_Trong_Thang'!$E$2),SUMPRODUCT(($D$2:D54&lt;&gt;"")*(MONTH($D$2:D54)='04_DS_Nhan_Viec_Trong_Thang'!$C$2)*(YEAR($D$2:D54)='04_DS_Nhan_Viec_Trong_Thang'!$E$2)),""))</f>
      </c>
      <c r="M54" s="65">
        <f t="shared" si="4"/>
      </c>
      <c r="N54" s="61">
        <f t="array" ref="N54">IF($B54="","",IF($J54="","Đang theo dõi",IF(OR(IFERROR(INDEX('05_Theo_Doi_Gio_Cong_7_Ngay'!$R:$R,MATCH($J54,'05_Theo_Doi_Gio_Cong_7_Ngay'!$B:$B,0)),"")="",IFERROR(INDEX('05_Theo_Doi_Gio_Cong_7_Ngay'!$R:$R,MATCH($J54,'05_Theo_Doi_Gio_Cong_7_Ngay'!$B:$B,0)),0)=0),"Đang theo dõi",IFERROR(INDEX('06_DS_Chinh_Thuc'!$K:$K,MATCH(IFERROR(INDEX('05_Theo_Doi_Gio_Cong_7_Ngay'!$R:$R,MATCH($J54,'05_Theo_Doi_Gio_Cong_7_Ngay'!$B:$B,0)),0),'06_DS_Chinh_Thuc'!$B:$B,0)),"Đang theo dõi"))))</f>
      </c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ht="14.25" customHeight="1" spans="1:26" x14ac:dyDescent="0.25">
      <c r="A55" s="66">
        <f t="shared" si="0"/>
      </c>
      <c r="B55" s="61"/>
      <c r="C55" s="66">
        <f t="array" ref="C55">IF(B55="","",IFERROR(INDEX('01_UngVien_PhongVan'!$D:$D,MATCH(B55,'01_UngVien_PhongVan'!$B:$B,0)),"Không tìm thấy mã ứng viên"))</f>
      </c>
      <c r="D55" s="67">
        <f t="array" ref="D55">IF(B55="","",IFERROR(INDEX('01_UngVien_PhongVan'!$AZ:$AZ,MATCH(B55,'01_UngVien_PhongVan'!$B:$B,0)),""))</f>
      </c>
      <c r="E55" s="68"/>
      <c r="F55" s="66">
        <f t="shared" si="1"/>
      </c>
      <c r="G55" s="67">
        <f t="shared" si="2"/>
      </c>
      <c r="H55" s="61"/>
      <c r="I55" s="61"/>
      <c r="J55" s="66">
        <f t="shared" si="3"/>
      </c>
      <c r="K55" s="61"/>
      <c r="L55" s="66">
        <f>IF(D55="","",IF(AND(MONTH(D55)='04_DS_Nhan_Viec_Trong_Thang'!$C$2,YEAR(D55)='04_DS_Nhan_Viec_Trong_Thang'!$E$2),SUMPRODUCT(($D$2:D55&lt;&gt;"")*(MONTH($D$2:D55)='04_DS_Nhan_Viec_Trong_Thang'!$C$2)*(YEAR($D$2:D55)='04_DS_Nhan_Viec_Trong_Thang'!$E$2)),""))</f>
      </c>
      <c r="M55" s="65">
        <f t="shared" si="4"/>
      </c>
      <c r="N55" s="61">
        <f t="array" ref="N55">IF($B55="","",IF($J55="","Đang theo dõi",IF(OR(IFERROR(INDEX('05_Theo_Doi_Gio_Cong_7_Ngay'!$R:$R,MATCH($J55,'05_Theo_Doi_Gio_Cong_7_Ngay'!$B:$B,0)),"")="",IFERROR(INDEX('05_Theo_Doi_Gio_Cong_7_Ngay'!$R:$R,MATCH($J55,'05_Theo_Doi_Gio_Cong_7_Ngay'!$B:$B,0)),0)=0),"Đang theo dõi",IFERROR(INDEX('06_DS_Chinh_Thuc'!$K:$K,MATCH(IFERROR(INDEX('05_Theo_Doi_Gio_Cong_7_Ngay'!$R:$R,MATCH($J55,'05_Theo_Doi_Gio_Cong_7_Ngay'!$B:$B,0)),0),'06_DS_Chinh_Thuc'!$B:$B,0)),"Đang theo dõi"))))</f>
      </c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ht="14.25" customHeight="1" spans="1:26" x14ac:dyDescent="0.25">
      <c r="A56" s="66">
        <f t="shared" si="0"/>
      </c>
      <c r="B56" s="61"/>
      <c r="C56" s="66">
        <f t="array" ref="C56">IF(B56="","",IFERROR(INDEX('01_UngVien_PhongVan'!$D:$D,MATCH(B56,'01_UngVien_PhongVan'!$B:$B,0)),"Không tìm thấy mã ứng viên"))</f>
      </c>
      <c r="D56" s="67">
        <f t="array" ref="D56">IF(B56="","",IFERROR(INDEX('01_UngVien_PhongVan'!$AZ:$AZ,MATCH(B56,'01_UngVien_PhongVan'!$B:$B,0)),""))</f>
      </c>
      <c r="E56" s="68"/>
      <c r="F56" s="66">
        <f t="shared" si="1"/>
      </c>
      <c r="G56" s="67">
        <f t="shared" si="2"/>
      </c>
      <c r="H56" s="61"/>
      <c r="I56" s="61"/>
      <c r="J56" s="66">
        <f t="shared" si="3"/>
      </c>
      <c r="K56" s="61"/>
      <c r="L56" s="66">
        <f>IF(D56="","",IF(AND(MONTH(D56)='04_DS_Nhan_Viec_Trong_Thang'!$C$2,YEAR(D56)='04_DS_Nhan_Viec_Trong_Thang'!$E$2),SUMPRODUCT(($D$2:D56&lt;&gt;"")*(MONTH($D$2:D56)='04_DS_Nhan_Viec_Trong_Thang'!$C$2)*(YEAR($D$2:D56)='04_DS_Nhan_Viec_Trong_Thang'!$E$2)),""))</f>
      </c>
      <c r="M56" s="65">
        <f t="shared" si="4"/>
      </c>
      <c r="N56" s="61">
        <f t="array" ref="N56">IF($B56="","",IF($J56="","Đang theo dõi",IF(OR(IFERROR(INDEX('05_Theo_Doi_Gio_Cong_7_Ngay'!$R:$R,MATCH($J56,'05_Theo_Doi_Gio_Cong_7_Ngay'!$B:$B,0)),"")="",IFERROR(INDEX('05_Theo_Doi_Gio_Cong_7_Ngay'!$R:$R,MATCH($J56,'05_Theo_Doi_Gio_Cong_7_Ngay'!$B:$B,0)),0)=0),"Đang theo dõi",IFERROR(INDEX('06_DS_Chinh_Thuc'!$K:$K,MATCH(IFERROR(INDEX('05_Theo_Doi_Gio_Cong_7_Ngay'!$R:$R,MATCH($J56,'05_Theo_Doi_Gio_Cong_7_Ngay'!$B:$B,0)),0),'06_DS_Chinh_Thuc'!$B:$B,0)),"Đang theo dõi"))))</f>
      </c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ht="14.25" customHeight="1" spans="1:26" x14ac:dyDescent="0.25">
      <c r="A57" s="66">
        <f t="shared" si="0"/>
      </c>
      <c r="B57" s="61"/>
      <c r="C57" s="66">
        <f t="array" ref="C57">IF(B57="","",IFERROR(INDEX('01_UngVien_PhongVan'!$D:$D,MATCH(B57,'01_UngVien_PhongVan'!$B:$B,0)),"Không tìm thấy mã ứng viên"))</f>
      </c>
      <c r="D57" s="67">
        <f t="array" ref="D57">IF(B57="","",IFERROR(INDEX('01_UngVien_PhongVan'!$AZ:$AZ,MATCH(B57,'01_UngVien_PhongVan'!$B:$B,0)),""))</f>
      </c>
      <c r="E57" s="68"/>
      <c r="F57" s="66">
        <f t="shared" si="1"/>
      </c>
      <c r="G57" s="67">
        <f t="shared" si="2"/>
      </c>
      <c r="H57" s="61"/>
      <c r="I57" s="61"/>
      <c r="J57" s="66">
        <f t="shared" si="3"/>
      </c>
      <c r="K57" s="61"/>
      <c r="L57" s="66">
        <f>IF(D57="","",IF(AND(MONTH(D57)='04_DS_Nhan_Viec_Trong_Thang'!$C$2,YEAR(D57)='04_DS_Nhan_Viec_Trong_Thang'!$E$2),SUMPRODUCT(($D$2:D57&lt;&gt;"")*(MONTH($D$2:D57)='04_DS_Nhan_Viec_Trong_Thang'!$C$2)*(YEAR($D$2:D57)='04_DS_Nhan_Viec_Trong_Thang'!$E$2)),""))</f>
      </c>
      <c r="M57" s="65">
        <f t="shared" si="4"/>
      </c>
      <c r="N57" s="61">
        <f t="array" ref="N57">IF($B57="","",IF($J57="","Đang theo dõi",IF(OR(IFERROR(INDEX('05_Theo_Doi_Gio_Cong_7_Ngay'!$R:$R,MATCH($J57,'05_Theo_Doi_Gio_Cong_7_Ngay'!$B:$B,0)),"")="",IFERROR(INDEX('05_Theo_Doi_Gio_Cong_7_Ngay'!$R:$R,MATCH($J57,'05_Theo_Doi_Gio_Cong_7_Ngay'!$B:$B,0)),0)=0),"Đang theo dõi",IFERROR(INDEX('06_DS_Chinh_Thuc'!$K:$K,MATCH(IFERROR(INDEX('05_Theo_Doi_Gio_Cong_7_Ngay'!$R:$R,MATCH($J57,'05_Theo_Doi_Gio_Cong_7_Ngay'!$B:$B,0)),0),'06_DS_Chinh_Thuc'!$B:$B,0)),"Đang theo dõi"))))</f>
      </c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ht="14.25" customHeight="1" spans="1:26" x14ac:dyDescent="0.25">
      <c r="A58" s="66">
        <f t="shared" si="0"/>
      </c>
      <c r="B58" s="61"/>
      <c r="C58" s="66">
        <f t="array" ref="C58">IF(B58="","",IFERROR(INDEX('01_UngVien_PhongVan'!$D:$D,MATCH(B58,'01_UngVien_PhongVan'!$B:$B,0)),"Không tìm thấy mã ứng viên"))</f>
      </c>
      <c r="D58" s="67">
        <f t="array" ref="D58">IF(B58="","",IFERROR(INDEX('01_UngVien_PhongVan'!$AZ:$AZ,MATCH(B58,'01_UngVien_PhongVan'!$B:$B,0)),""))</f>
      </c>
      <c r="E58" s="68"/>
      <c r="F58" s="66">
        <f t="shared" si="1"/>
      </c>
      <c r="G58" s="67">
        <f t="shared" si="2"/>
      </c>
      <c r="H58" s="61"/>
      <c r="I58" s="61"/>
      <c r="J58" s="66">
        <f t="shared" si="3"/>
      </c>
      <c r="K58" s="61"/>
      <c r="L58" s="66">
        <f>IF(D58="","",IF(AND(MONTH(D58)='04_DS_Nhan_Viec_Trong_Thang'!$C$2,YEAR(D58)='04_DS_Nhan_Viec_Trong_Thang'!$E$2),SUMPRODUCT(($D$2:D58&lt;&gt;"")*(MONTH($D$2:D58)='04_DS_Nhan_Viec_Trong_Thang'!$C$2)*(YEAR($D$2:D58)='04_DS_Nhan_Viec_Trong_Thang'!$E$2)),""))</f>
      </c>
      <c r="M58" s="65">
        <f t="shared" si="4"/>
      </c>
      <c r="N58" s="61">
        <f t="array" ref="N58">IF($B58="","",IF($J58="","Đang theo dõi",IF(OR(IFERROR(INDEX('05_Theo_Doi_Gio_Cong_7_Ngay'!$R:$R,MATCH($J58,'05_Theo_Doi_Gio_Cong_7_Ngay'!$B:$B,0)),"")="",IFERROR(INDEX('05_Theo_Doi_Gio_Cong_7_Ngay'!$R:$R,MATCH($J58,'05_Theo_Doi_Gio_Cong_7_Ngay'!$B:$B,0)),0)=0),"Đang theo dõi",IFERROR(INDEX('06_DS_Chinh_Thuc'!$K:$K,MATCH(IFERROR(INDEX('05_Theo_Doi_Gio_Cong_7_Ngay'!$R:$R,MATCH($J58,'05_Theo_Doi_Gio_Cong_7_Ngay'!$B:$B,0)),0),'06_DS_Chinh_Thuc'!$B:$B,0)),"Đang theo dõi"))))</f>
      </c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ht="14.25" customHeight="1" spans="1:26" x14ac:dyDescent="0.25">
      <c r="A59" s="66">
        <f t="shared" si="0"/>
      </c>
      <c r="B59" s="61"/>
      <c r="C59" s="66">
        <f t="array" ref="C59">IF(B59="","",IFERROR(INDEX('01_UngVien_PhongVan'!$D:$D,MATCH(B59,'01_UngVien_PhongVan'!$B:$B,0)),"Không tìm thấy mã ứng viên"))</f>
      </c>
      <c r="D59" s="67">
        <f t="array" ref="D59">IF(B59="","",IFERROR(INDEX('01_UngVien_PhongVan'!$AZ:$AZ,MATCH(B59,'01_UngVien_PhongVan'!$B:$B,0)),""))</f>
      </c>
      <c r="E59" s="68"/>
      <c r="F59" s="66">
        <f t="shared" si="1"/>
      </c>
      <c r="G59" s="67">
        <f t="shared" si="2"/>
      </c>
      <c r="H59" s="61"/>
      <c r="I59" s="61"/>
      <c r="J59" s="66">
        <f t="shared" si="3"/>
      </c>
      <c r="K59" s="61"/>
      <c r="L59" s="66">
        <f>IF(D59="","",IF(AND(MONTH(D59)='04_DS_Nhan_Viec_Trong_Thang'!$C$2,YEAR(D59)='04_DS_Nhan_Viec_Trong_Thang'!$E$2),SUMPRODUCT(($D$2:D59&lt;&gt;"")*(MONTH($D$2:D59)='04_DS_Nhan_Viec_Trong_Thang'!$C$2)*(YEAR($D$2:D59)='04_DS_Nhan_Viec_Trong_Thang'!$E$2)),""))</f>
      </c>
      <c r="M59" s="65">
        <f t="shared" si="4"/>
      </c>
      <c r="N59" s="61">
        <f t="array" ref="N59">IF($B59="","",IF($J59="","Đang theo dõi",IF(OR(IFERROR(INDEX('05_Theo_Doi_Gio_Cong_7_Ngay'!$R:$R,MATCH($J59,'05_Theo_Doi_Gio_Cong_7_Ngay'!$B:$B,0)),"")="",IFERROR(INDEX('05_Theo_Doi_Gio_Cong_7_Ngay'!$R:$R,MATCH($J59,'05_Theo_Doi_Gio_Cong_7_Ngay'!$B:$B,0)),0)=0),"Đang theo dõi",IFERROR(INDEX('06_DS_Chinh_Thuc'!$K:$K,MATCH(IFERROR(INDEX('05_Theo_Doi_Gio_Cong_7_Ngay'!$R:$R,MATCH($J59,'05_Theo_Doi_Gio_Cong_7_Ngay'!$B:$B,0)),0),'06_DS_Chinh_Thuc'!$B:$B,0)),"Đang theo dõi"))))</f>
      </c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ht="14.25" customHeight="1" spans="1:26" x14ac:dyDescent="0.25">
      <c r="A60" s="66">
        <f t="shared" si="0"/>
      </c>
      <c r="B60" s="61"/>
      <c r="C60" s="66">
        <f t="array" ref="C60">IF(B60="","",IFERROR(INDEX('01_UngVien_PhongVan'!$D:$D,MATCH(B60,'01_UngVien_PhongVan'!$B:$B,0)),"Không tìm thấy mã ứng viên"))</f>
      </c>
      <c r="D60" s="67">
        <f t="array" ref="D60">IF(B60="","",IFERROR(INDEX('01_UngVien_PhongVan'!$AZ:$AZ,MATCH(B60,'01_UngVien_PhongVan'!$B:$B,0)),""))</f>
      </c>
      <c r="E60" s="68"/>
      <c r="F60" s="66">
        <f t="shared" si="1"/>
      </c>
      <c r="G60" s="67">
        <f t="shared" si="2"/>
      </c>
      <c r="H60" s="61"/>
      <c r="I60" s="61"/>
      <c r="J60" s="66">
        <f t="shared" si="3"/>
      </c>
      <c r="K60" s="61"/>
      <c r="L60" s="66">
        <f>IF(D60="","",IF(AND(MONTH(D60)='04_DS_Nhan_Viec_Trong_Thang'!$C$2,YEAR(D60)='04_DS_Nhan_Viec_Trong_Thang'!$E$2),SUMPRODUCT(($D$2:D60&lt;&gt;"")*(MONTH($D$2:D60)='04_DS_Nhan_Viec_Trong_Thang'!$C$2)*(YEAR($D$2:D60)='04_DS_Nhan_Viec_Trong_Thang'!$E$2)),""))</f>
      </c>
      <c r="M60" s="65">
        <f t="shared" si="4"/>
      </c>
      <c r="N60" s="61">
        <f t="array" ref="N60">IF($B60="","",IF($J60="","Đang theo dõi",IF(OR(IFERROR(INDEX('05_Theo_Doi_Gio_Cong_7_Ngay'!$R:$R,MATCH($J60,'05_Theo_Doi_Gio_Cong_7_Ngay'!$B:$B,0)),"")="",IFERROR(INDEX('05_Theo_Doi_Gio_Cong_7_Ngay'!$R:$R,MATCH($J60,'05_Theo_Doi_Gio_Cong_7_Ngay'!$B:$B,0)),0)=0),"Đang theo dõi",IFERROR(INDEX('06_DS_Chinh_Thuc'!$K:$K,MATCH(IFERROR(INDEX('05_Theo_Doi_Gio_Cong_7_Ngay'!$R:$R,MATCH($J60,'05_Theo_Doi_Gio_Cong_7_Ngay'!$B:$B,0)),0),'06_DS_Chinh_Thuc'!$B:$B,0)),"Đang theo dõi"))))</f>
      </c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ht="14.25" customHeight="1" spans="1:26" x14ac:dyDescent="0.25">
      <c r="A61" s="66">
        <f t="shared" si="0"/>
      </c>
      <c r="B61" s="61"/>
      <c r="C61" s="66">
        <f t="array" ref="C61">IF(B61="","",IFERROR(INDEX('01_UngVien_PhongVan'!$D:$D,MATCH(B61,'01_UngVien_PhongVan'!$B:$B,0)),"Không tìm thấy mã ứng viên"))</f>
      </c>
      <c r="D61" s="67">
        <f t="array" ref="D61">IF(B61="","",IFERROR(INDEX('01_UngVien_PhongVan'!$AZ:$AZ,MATCH(B61,'01_UngVien_PhongVan'!$B:$B,0)),""))</f>
      </c>
      <c r="E61" s="68"/>
      <c r="F61" s="66">
        <f t="shared" si="1"/>
      </c>
      <c r="G61" s="67">
        <f t="shared" si="2"/>
      </c>
      <c r="H61" s="61"/>
      <c r="I61" s="61"/>
      <c r="J61" s="66">
        <f t="shared" si="3"/>
      </c>
      <c r="K61" s="61"/>
      <c r="L61" s="66">
        <f>IF(D61="","",IF(AND(MONTH(D61)='04_DS_Nhan_Viec_Trong_Thang'!$C$2,YEAR(D61)='04_DS_Nhan_Viec_Trong_Thang'!$E$2),SUMPRODUCT(($D$2:D61&lt;&gt;"")*(MONTH($D$2:D61)='04_DS_Nhan_Viec_Trong_Thang'!$C$2)*(YEAR($D$2:D61)='04_DS_Nhan_Viec_Trong_Thang'!$E$2)),""))</f>
      </c>
      <c r="M61" s="65">
        <f t="shared" si="4"/>
      </c>
      <c r="N61" s="61">
        <f t="array" ref="N61">IF($B61="","",IF($J61="","Đang theo dõi",IF(OR(IFERROR(INDEX('05_Theo_Doi_Gio_Cong_7_Ngay'!$R:$R,MATCH($J61,'05_Theo_Doi_Gio_Cong_7_Ngay'!$B:$B,0)),"")="",IFERROR(INDEX('05_Theo_Doi_Gio_Cong_7_Ngay'!$R:$R,MATCH($J61,'05_Theo_Doi_Gio_Cong_7_Ngay'!$B:$B,0)),0)=0),"Đang theo dõi",IFERROR(INDEX('06_DS_Chinh_Thuc'!$K:$K,MATCH(IFERROR(INDEX('05_Theo_Doi_Gio_Cong_7_Ngay'!$R:$R,MATCH($J61,'05_Theo_Doi_Gio_Cong_7_Ngay'!$B:$B,0)),0),'06_DS_Chinh_Thuc'!$B:$B,0)),"Đang theo dõi"))))</f>
      </c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ht="14.25" customHeight="1" spans="1:26" x14ac:dyDescent="0.25">
      <c r="A62" s="66">
        <f t="shared" si="0"/>
      </c>
      <c r="B62" s="61"/>
      <c r="C62" s="66">
        <f t="array" ref="C62">IF(B62="","",IFERROR(INDEX('01_UngVien_PhongVan'!$D:$D,MATCH(B62,'01_UngVien_PhongVan'!$B:$B,0)),"Không tìm thấy mã ứng viên"))</f>
      </c>
      <c r="D62" s="67">
        <f t="array" ref="D62">IF(B62="","",IFERROR(INDEX('01_UngVien_PhongVan'!$AZ:$AZ,MATCH(B62,'01_UngVien_PhongVan'!$B:$B,0)),""))</f>
      </c>
      <c r="E62" s="68"/>
      <c r="F62" s="66">
        <f t="shared" si="1"/>
      </c>
      <c r="G62" s="67">
        <f t="shared" si="2"/>
      </c>
      <c r="H62" s="61"/>
      <c r="I62" s="61"/>
      <c r="J62" s="66">
        <f t="shared" si="3"/>
      </c>
      <c r="K62" s="61"/>
      <c r="L62" s="66">
        <f>IF(D62="","",IF(AND(MONTH(D62)='04_DS_Nhan_Viec_Trong_Thang'!$C$2,YEAR(D62)='04_DS_Nhan_Viec_Trong_Thang'!$E$2),SUMPRODUCT(($D$2:D62&lt;&gt;"")*(MONTH($D$2:D62)='04_DS_Nhan_Viec_Trong_Thang'!$C$2)*(YEAR($D$2:D62)='04_DS_Nhan_Viec_Trong_Thang'!$E$2)),""))</f>
      </c>
      <c r="M62" s="65">
        <f t="shared" si="4"/>
      </c>
      <c r="N62" s="61">
        <f t="array" ref="N62">IF($B62="","",IF($J62="","Đang theo dõi",IF(OR(IFERROR(INDEX('05_Theo_Doi_Gio_Cong_7_Ngay'!$R:$R,MATCH($J62,'05_Theo_Doi_Gio_Cong_7_Ngay'!$B:$B,0)),"")="",IFERROR(INDEX('05_Theo_Doi_Gio_Cong_7_Ngay'!$R:$R,MATCH($J62,'05_Theo_Doi_Gio_Cong_7_Ngay'!$B:$B,0)),0)=0),"Đang theo dõi",IFERROR(INDEX('06_DS_Chinh_Thuc'!$K:$K,MATCH(IFERROR(INDEX('05_Theo_Doi_Gio_Cong_7_Ngay'!$R:$R,MATCH($J62,'05_Theo_Doi_Gio_Cong_7_Ngay'!$B:$B,0)),0),'06_DS_Chinh_Thuc'!$B:$B,0)),"Đang theo dõi"))))</f>
      </c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ht="14.25" customHeight="1" spans="1:26" x14ac:dyDescent="0.25">
      <c r="A63" s="66">
        <f t="shared" si="0"/>
      </c>
      <c r="B63" s="61"/>
      <c r="C63" s="66">
        <f t="array" ref="C63">IF(B63="","",IFERROR(INDEX('01_UngVien_PhongVan'!$D:$D,MATCH(B63,'01_UngVien_PhongVan'!$B:$B,0)),"Không tìm thấy mã ứng viên"))</f>
      </c>
      <c r="D63" s="67">
        <f t="array" ref="D63">IF(B63="","",IFERROR(INDEX('01_UngVien_PhongVan'!$AZ:$AZ,MATCH(B63,'01_UngVien_PhongVan'!$B:$B,0)),""))</f>
      </c>
      <c r="E63" s="68"/>
      <c r="F63" s="66">
        <f t="shared" si="1"/>
      </c>
      <c r="G63" s="67">
        <f t="shared" si="2"/>
      </c>
      <c r="H63" s="61"/>
      <c r="I63" s="61"/>
      <c r="J63" s="66">
        <f t="shared" si="3"/>
      </c>
      <c r="K63" s="61"/>
      <c r="L63" s="66">
        <f>IF(D63="","",IF(AND(MONTH(D63)='04_DS_Nhan_Viec_Trong_Thang'!$C$2,YEAR(D63)='04_DS_Nhan_Viec_Trong_Thang'!$E$2),SUMPRODUCT(($D$2:D63&lt;&gt;"")*(MONTH($D$2:D63)='04_DS_Nhan_Viec_Trong_Thang'!$C$2)*(YEAR($D$2:D63)='04_DS_Nhan_Viec_Trong_Thang'!$E$2)),""))</f>
      </c>
      <c r="M63" s="65">
        <f t="shared" si="4"/>
      </c>
      <c r="N63" s="61">
        <f t="array" ref="N63">IF($B63="","",IF($J63="","Đang theo dõi",IF(OR(IFERROR(INDEX('05_Theo_Doi_Gio_Cong_7_Ngay'!$R:$R,MATCH($J63,'05_Theo_Doi_Gio_Cong_7_Ngay'!$B:$B,0)),"")="",IFERROR(INDEX('05_Theo_Doi_Gio_Cong_7_Ngay'!$R:$R,MATCH($J63,'05_Theo_Doi_Gio_Cong_7_Ngay'!$B:$B,0)),0)=0),"Đang theo dõi",IFERROR(INDEX('06_DS_Chinh_Thuc'!$K:$K,MATCH(IFERROR(INDEX('05_Theo_Doi_Gio_Cong_7_Ngay'!$R:$R,MATCH($J63,'05_Theo_Doi_Gio_Cong_7_Ngay'!$B:$B,0)),0),'06_DS_Chinh_Thuc'!$B:$B,0)),"Đang theo dõi"))))</f>
      </c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ht="14.25" customHeight="1" spans="1:26" x14ac:dyDescent="0.25">
      <c r="A64" s="66">
        <f t="shared" si="0"/>
      </c>
      <c r="B64" s="61"/>
      <c r="C64" s="66">
        <f t="array" ref="C64">IF(B64="","",IFERROR(INDEX('01_UngVien_PhongVan'!$D:$D,MATCH(B64,'01_UngVien_PhongVan'!$B:$B,0)),"Không tìm thấy mã ứng viên"))</f>
      </c>
      <c r="D64" s="67">
        <f t="array" ref="D64">IF(B64="","",IFERROR(INDEX('01_UngVien_PhongVan'!$AZ:$AZ,MATCH(B64,'01_UngVien_PhongVan'!$B:$B,0)),""))</f>
      </c>
      <c r="E64" s="68"/>
      <c r="F64" s="66">
        <f t="shared" si="1"/>
      </c>
      <c r="G64" s="67">
        <f t="shared" si="2"/>
      </c>
      <c r="H64" s="61"/>
      <c r="I64" s="61"/>
      <c r="J64" s="66">
        <f t="shared" si="3"/>
      </c>
      <c r="K64" s="61"/>
      <c r="L64" s="66">
        <f>IF(D64="","",IF(AND(MONTH(D64)='04_DS_Nhan_Viec_Trong_Thang'!$C$2,YEAR(D64)='04_DS_Nhan_Viec_Trong_Thang'!$E$2),SUMPRODUCT(($D$2:D64&lt;&gt;"")*(MONTH($D$2:D64)='04_DS_Nhan_Viec_Trong_Thang'!$C$2)*(YEAR($D$2:D64)='04_DS_Nhan_Viec_Trong_Thang'!$E$2)),""))</f>
      </c>
      <c r="M64" s="65">
        <f t="shared" si="4"/>
      </c>
      <c r="N64" s="61">
        <f t="array" ref="N64">IF($B64="","",IF($J64="","Đang theo dõi",IF(OR(IFERROR(INDEX('05_Theo_Doi_Gio_Cong_7_Ngay'!$R:$R,MATCH($J64,'05_Theo_Doi_Gio_Cong_7_Ngay'!$B:$B,0)),"")="",IFERROR(INDEX('05_Theo_Doi_Gio_Cong_7_Ngay'!$R:$R,MATCH($J64,'05_Theo_Doi_Gio_Cong_7_Ngay'!$B:$B,0)),0)=0),"Đang theo dõi",IFERROR(INDEX('06_DS_Chinh_Thuc'!$K:$K,MATCH(IFERROR(INDEX('05_Theo_Doi_Gio_Cong_7_Ngay'!$R:$R,MATCH($J64,'05_Theo_Doi_Gio_Cong_7_Ngay'!$B:$B,0)),0),'06_DS_Chinh_Thuc'!$B:$B,0)),"Đang theo dõi"))))</f>
      </c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ht="14.25" customHeight="1" spans="1:26" x14ac:dyDescent="0.25">
      <c r="A65" s="66">
        <f t="shared" si="0"/>
      </c>
      <c r="B65" s="61"/>
      <c r="C65" s="66">
        <f t="array" ref="C65">IF(B65="","",IFERROR(INDEX('01_UngVien_PhongVan'!$D:$D,MATCH(B65,'01_UngVien_PhongVan'!$B:$B,0)),"Không tìm thấy mã ứng viên"))</f>
      </c>
      <c r="D65" s="67">
        <f t="array" ref="D65">IF(B65="","",IFERROR(INDEX('01_UngVien_PhongVan'!$AZ:$AZ,MATCH(B65,'01_UngVien_PhongVan'!$B:$B,0)),""))</f>
      </c>
      <c r="E65" s="68"/>
      <c r="F65" s="66">
        <f t="shared" si="1"/>
      </c>
      <c r="G65" s="67">
        <f t="shared" si="2"/>
      </c>
      <c r="H65" s="61"/>
      <c r="I65" s="61"/>
      <c r="J65" s="66">
        <f t="shared" si="3"/>
      </c>
      <c r="K65" s="61"/>
      <c r="L65" s="66">
        <f>IF(D65="","",IF(AND(MONTH(D65)='04_DS_Nhan_Viec_Trong_Thang'!$C$2,YEAR(D65)='04_DS_Nhan_Viec_Trong_Thang'!$E$2),SUMPRODUCT(($D$2:D65&lt;&gt;"")*(MONTH($D$2:D65)='04_DS_Nhan_Viec_Trong_Thang'!$C$2)*(YEAR($D$2:D65)='04_DS_Nhan_Viec_Trong_Thang'!$E$2)),""))</f>
      </c>
      <c r="M65" s="65">
        <f t="shared" si="4"/>
      </c>
      <c r="N65" s="61">
        <f t="array" ref="N65">IF($B65="","",IF($J65="","Đang theo dõi",IF(OR(IFERROR(INDEX('05_Theo_Doi_Gio_Cong_7_Ngay'!$R:$R,MATCH($J65,'05_Theo_Doi_Gio_Cong_7_Ngay'!$B:$B,0)),"")="",IFERROR(INDEX('05_Theo_Doi_Gio_Cong_7_Ngay'!$R:$R,MATCH($J65,'05_Theo_Doi_Gio_Cong_7_Ngay'!$B:$B,0)),0)=0),"Đang theo dõi",IFERROR(INDEX('06_DS_Chinh_Thuc'!$K:$K,MATCH(IFERROR(INDEX('05_Theo_Doi_Gio_Cong_7_Ngay'!$R:$R,MATCH($J65,'05_Theo_Doi_Gio_Cong_7_Ngay'!$B:$B,0)),0),'06_DS_Chinh_Thuc'!$B:$B,0)),"Đang theo dõi"))))</f>
      </c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ht="14.25" customHeight="1" spans="1:26" x14ac:dyDescent="0.25">
      <c r="A66" s="66">
        <f t="shared" si="0"/>
      </c>
      <c r="B66" s="61"/>
      <c r="C66" s="66">
        <f t="array" ref="C66">IF(B66="","",IFERROR(INDEX('01_UngVien_PhongVan'!$D:$D,MATCH(B66,'01_UngVien_PhongVan'!$B:$B,0)),"Không tìm thấy mã ứng viên"))</f>
      </c>
      <c r="D66" s="67">
        <f t="array" ref="D66">IF(B66="","",IFERROR(INDEX('01_UngVien_PhongVan'!$AZ:$AZ,MATCH(B66,'01_UngVien_PhongVan'!$B:$B,0)),""))</f>
      </c>
      <c r="E66" s="68"/>
      <c r="F66" s="66">
        <f t="shared" si="1"/>
      </c>
      <c r="G66" s="67">
        <f t="shared" si="2"/>
      </c>
      <c r="H66" s="61"/>
      <c r="I66" s="61"/>
      <c r="J66" s="66">
        <f t="shared" si="3"/>
      </c>
      <c r="K66" s="61"/>
      <c r="L66" s="66">
        <f>IF(D66="","",IF(AND(MONTH(D66)='04_DS_Nhan_Viec_Trong_Thang'!$C$2,YEAR(D66)='04_DS_Nhan_Viec_Trong_Thang'!$E$2),SUMPRODUCT(($D$2:D66&lt;&gt;"")*(MONTH($D$2:D66)='04_DS_Nhan_Viec_Trong_Thang'!$C$2)*(YEAR($D$2:D66)='04_DS_Nhan_Viec_Trong_Thang'!$E$2)),""))</f>
      </c>
      <c r="M66" s="65">
        <f t="shared" si="4"/>
      </c>
      <c r="N66" s="61">
        <f t="array" ref="N66">IF($B66="","",IF($J66="","Đang theo dõi",IF(OR(IFERROR(INDEX('05_Theo_Doi_Gio_Cong_7_Ngay'!$R:$R,MATCH($J66,'05_Theo_Doi_Gio_Cong_7_Ngay'!$B:$B,0)),"")="",IFERROR(INDEX('05_Theo_Doi_Gio_Cong_7_Ngay'!$R:$R,MATCH($J66,'05_Theo_Doi_Gio_Cong_7_Ngay'!$B:$B,0)),0)=0),"Đang theo dõi",IFERROR(INDEX('06_DS_Chinh_Thuc'!$K:$K,MATCH(IFERROR(INDEX('05_Theo_Doi_Gio_Cong_7_Ngay'!$R:$R,MATCH($J66,'05_Theo_Doi_Gio_Cong_7_Ngay'!$B:$B,0)),0),'06_DS_Chinh_Thuc'!$B:$B,0)),"Đang theo dõi"))))</f>
      </c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ht="14.25" customHeight="1" spans="1:26" x14ac:dyDescent="0.25">
      <c r="A67" s="66">
        <f t="shared" si="0"/>
      </c>
      <c r="B67" s="61"/>
      <c r="C67" s="66">
        <f t="array" ref="C67">IF(B67="","",IFERROR(INDEX('01_UngVien_PhongVan'!$D:$D,MATCH(B67,'01_UngVien_PhongVan'!$B:$B,0)),"Không tìm thấy mã ứng viên"))</f>
      </c>
      <c r="D67" s="67">
        <f t="array" ref="D67">IF(B67="","",IFERROR(INDEX('01_UngVien_PhongVan'!$AZ:$AZ,MATCH(B67,'01_UngVien_PhongVan'!$B:$B,0)),""))</f>
      </c>
      <c r="E67" s="68"/>
      <c r="F67" s="66">
        <f t="shared" si="1"/>
      </c>
      <c r="G67" s="67">
        <f t="shared" si="2"/>
      </c>
      <c r="H67" s="61"/>
      <c r="I67" s="61"/>
      <c r="J67" s="66">
        <f t="shared" si="3"/>
      </c>
      <c r="K67" s="61"/>
      <c r="L67" s="66">
        <f>IF(D67="","",IF(AND(MONTH(D67)='04_DS_Nhan_Viec_Trong_Thang'!$C$2,YEAR(D67)='04_DS_Nhan_Viec_Trong_Thang'!$E$2),SUMPRODUCT(($D$2:D67&lt;&gt;"")*(MONTH($D$2:D67)='04_DS_Nhan_Viec_Trong_Thang'!$C$2)*(YEAR($D$2:D67)='04_DS_Nhan_Viec_Trong_Thang'!$E$2)),""))</f>
      </c>
      <c r="M67" s="65">
        <f t="shared" si="4"/>
      </c>
      <c r="N67" s="61">
        <f t="array" ref="N67">IF($B67="","",IF($J67="","Đang theo dõi",IF(OR(IFERROR(INDEX('05_Theo_Doi_Gio_Cong_7_Ngay'!$R:$R,MATCH($J67,'05_Theo_Doi_Gio_Cong_7_Ngay'!$B:$B,0)),"")="",IFERROR(INDEX('05_Theo_Doi_Gio_Cong_7_Ngay'!$R:$R,MATCH($J67,'05_Theo_Doi_Gio_Cong_7_Ngay'!$B:$B,0)),0)=0),"Đang theo dõi",IFERROR(INDEX('06_DS_Chinh_Thuc'!$K:$K,MATCH(IFERROR(INDEX('05_Theo_Doi_Gio_Cong_7_Ngay'!$R:$R,MATCH($J67,'05_Theo_Doi_Gio_Cong_7_Ngay'!$B:$B,0)),0),'06_DS_Chinh_Thuc'!$B:$B,0)),"Đang theo dõi"))))</f>
      </c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ht="14.25" customHeight="1" spans="1:26" x14ac:dyDescent="0.25">
      <c r="A68" s="66">
        <f t="shared" si="0"/>
      </c>
      <c r="B68" s="61"/>
      <c r="C68" s="66">
        <f t="array" ref="C68">IF(B68="","",IFERROR(INDEX('01_UngVien_PhongVan'!$D:$D,MATCH(B68,'01_UngVien_PhongVan'!$B:$B,0)),"Không tìm thấy mã ứng viên"))</f>
      </c>
      <c r="D68" s="67">
        <f t="array" ref="D68">IF(B68="","",IFERROR(INDEX('01_UngVien_PhongVan'!$AZ:$AZ,MATCH(B68,'01_UngVien_PhongVan'!$B:$B,0)),""))</f>
      </c>
      <c r="E68" s="68"/>
      <c r="F68" s="66">
        <f t="shared" si="1"/>
      </c>
      <c r="G68" s="67">
        <f t="shared" si="2"/>
      </c>
      <c r="H68" s="61"/>
      <c r="I68" s="61"/>
      <c r="J68" s="66">
        <f t="shared" si="3"/>
      </c>
      <c r="K68" s="61"/>
      <c r="L68" s="66">
        <f>IF(D68="","",IF(AND(MONTH(D68)='04_DS_Nhan_Viec_Trong_Thang'!$C$2,YEAR(D68)='04_DS_Nhan_Viec_Trong_Thang'!$E$2),SUMPRODUCT(($D$2:D68&lt;&gt;"")*(MONTH($D$2:D68)='04_DS_Nhan_Viec_Trong_Thang'!$C$2)*(YEAR($D$2:D68)='04_DS_Nhan_Viec_Trong_Thang'!$E$2)),""))</f>
      </c>
      <c r="M68" s="65">
        <f t="shared" si="4"/>
      </c>
      <c r="N68" s="61">
        <f t="array" ref="N68">IF($B68="","",IF($J68="","Đang theo dõi",IF(OR(IFERROR(INDEX('05_Theo_Doi_Gio_Cong_7_Ngay'!$R:$R,MATCH($J68,'05_Theo_Doi_Gio_Cong_7_Ngay'!$B:$B,0)),"")="",IFERROR(INDEX('05_Theo_Doi_Gio_Cong_7_Ngay'!$R:$R,MATCH($J68,'05_Theo_Doi_Gio_Cong_7_Ngay'!$B:$B,0)),0)=0),"Đang theo dõi",IFERROR(INDEX('06_DS_Chinh_Thuc'!$K:$K,MATCH(IFERROR(INDEX('05_Theo_Doi_Gio_Cong_7_Ngay'!$R:$R,MATCH($J68,'05_Theo_Doi_Gio_Cong_7_Ngay'!$B:$B,0)),0),'06_DS_Chinh_Thuc'!$B:$B,0)),"Đang theo dõi"))))</f>
      </c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ht="14.25" customHeight="1" spans="1:26" x14ac:dyDescent="0.25">
      <c r="A69" s="66">
        <f t="shared" si="0"/>
      </c>
      <c r="B69" s="61"/>
      <c r="C69" s="66">
        <f t="array" ref="C69">IF(B69="","",IFERROR(INDEX('01_UngVien_PhongVan'!$D:$D,MATCH(B69,'01_UngVien_PhongVan'!$B:$B,0)),"Không tìm thấy mã ứng viên"))</f>
      </c>
      <c r="D69" s="67">
        <f t="array" ref="D69">IF(B69="","",IFERROR(INDEX('01_UngVien_PhongVan'!$AZ:$AZ,MATCH(B69,'01_UngVien_PhongVan'!$B:$B,0)),""))</f>
      </c>
      <c r="E69" s="68"/>
      <c r="F69" s="66">
        <f t="shared" si="1"/>
      </c>
      <c r="G69" s="67">
        <f t="shared" si="2"/>
      </c>
      <c r="H69" s="61"/>
      <c r="I69" s="61"/>
      <c r="J69" s="66">
        <f t="shared" si="3"/>
      </c>
      <c r="K69" s="61"/>
      <c r="L69" s="66">
        <f>IF(D69="","",IF(AND(MONTH(D69)='04_DS_Nhan_Viec_Trong_Thang'!$C$2,YEAR(D69)='04_DS_Nhan_Viec_Trong_Thang'!$E$2),SUMPRODUCT(($D$2:D69&lt;&gt;"")*(MONTH($D$2:D69)='04_DS_Nhan_Viec_Trong_Thang'!$C$2)*(YEAR($D$2:D69)='04_DS_Nhan_Viec_Trong_Thang'!$E$2)),""))</f>
      </c>
      <c r="M69" s="65">
        <f t="shared" si="4"/>
      </c>
      <c r="N69" s="61">
        <f t="array" ref="N69">IF($B69="","",IF($J69="","Đang theo dõi",IF(OR(IFERROR(INDEX('05_Theo_Doi_Gio_Cong_7_Ngay'!$R:$R,MATCH($J69,'05_Theo_Doi_Gio_Cong_7_Ngay'!$B:$B,0)),"")="",IFERROR(INDEX('05_Theo_Doi_Gio_Cong_7_Ngay'!$R:$R,MATCH($J69,'05_Theo_Doi_Gio_Cong_7_Ngay'!$B:$B,0)),0)=0),"Đang theo dõi",IFERROR(INDEX('06_DS_Chinh_Thuc'!$K:$K,MATCH(IFERROR(INDEX('05_Theo_Doi_Gio_Cong_7_Ngay'!$R:$R,MATCH($J69,'05_Theo_Doi_Gio_Cong_7_Ngay'!$B:$B,0)),0),'06_DS_Chinh_Thuc'!$B:$B,0)),"Đang theo dõi"))))</f>
      </c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ht="14.25" customHeight="1" spans="1:26" x14ac:dyDescent="0.25">
      <c r="A70" s="66">
        <f t="shared" si="0"/>
      </c>
      <c r="B70" s="61"/>
      <c r="C70" s="66">
        <f t="array" ref="C70">IF(B70="","",IFERROR(INDEX('01_UngVien_PhongVan'!$D:$D,MATCH(B70,'01_UngVien_PhongVan'!$B:$B,0)),"Không tìm thấy mã ứng viên"))</f>
      </c>
      <c r="D70" s="67">
        <f t="array" ref="D70">IF(B70="","",IFERROR(INDEX('01_UngVien_PhongVan'!$AZ:$AZ,MATCH(B70,'01_UngVien_PhongVan'!$B:$B,0)),""))</f>
      </c>
      <c r="E70" s="68"/>
      <c r="F70" s="66">
        <f t="shared" si="1"/>
      </c>
      <c r="G70" s="67">
        <f t="shared" si="2"/>
      </c>
      <c r="H70" s="61"/>
      <c r="I70" s="61"/>
      <c r="J70" s="66">
        <f t="shared" si="3"/>
      </c>
      <c r="K70" s="61"/>
      <c r="L70" s="66">
        <f>IF(D70="","",IF(AND(MONTH(D70)='04_DS_Nhan_Viec_Trong_Thang'!$C$2,YEAR(D70)='04_DS_Nhan_Viec_Trong_Thang'!$E$2),SUMPRODUCT(($D$2:D70&lt;&gt;"")*(MONTH($D$2:D70)='04_DS_Nhan_Viec_Trong_Thang'!$C$2)*(YEAR($D$2:D70)='04_DS_Nhan_Viec_Trong_Thang'!$E$2)),""))</f>
      </c>
      <c r="M70" s="65">
        <f t="shared" si="4"/>
      </c>
      <c r="N70" s="61">
        <f t="array" ref="N70">IF($B70="","",IF($J70="","Đang theo dõi",IF(OR(IFERROR(INDEX('05_Theo_Doi_Gio_Cong_7_Ngay'!$R:$R,MATCH($J70,'05_Theo_Doi_Gio_Cong_7_Ngay'!$B:$B,0)),"")="",IFERROR(INDEX('05_Theo_Doi_Gio_Cong_7_Ngay'!$R:$R,MATCH($J70,'05_Theo_Doi_Gio_Cong_7_Ngay'!$B:$B,0)),0)=0),"Đang theo dõi",IFERROR(INDEX('06_DS_Chinh_Thuc'!$K:$K,MATCH(IFERROR(INDEX('05_Theo_Doi_Gio_Cong_7_Ngay'!$R:$R,MATCH($J70,'05_Theo_Doi_Gio_Cong_7_Ngay'!$B:$B,0)),0),'06_DS_Chinh_Thuc'!$B:$B,0)),"Đang theo dõi"))))</f>
      </c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ht="14.25" customHeight="1" spans="1:26" x14ac:dyDescent="0.25">
      <c r="A71" s="66">
        <f t="shared" si="0"/>
      </c>
      <c r="B71" s="61"/>
      <c r="C71" s="66">
        <f t="array" ref="C71">IF(B71="","",IFERROR(INDEX('01_UngVien_PhongVan'!$D:$D,MATCH(B71,'01_UngVien_PhongVan'!$B:$B,0)),"Không tìm thấy mã ứng viên"))</f>
      </c>
      <c r="D71" s="67">
        <f t="array" ref="D71">IF(B71="","",IFERROR(INDEX('01_UngVien_PhongVan'!$AZ:$AZ,MATCH(B71,'01_UngVien_PhongVan'!$B:$B,0)),""))</f>
      </c>
      <c r="E71" s="68"/>
      <c r="F71" s="66">
        <f t="shared" si="1"/>
      </c>
      <c r="G71" s="67">
        <f t="shared" si="2"/>
      </c>
      <c r="H71" s="61"/>
      <c r="I71" s="61"/>
      <c r="J71" s="66">
        <f t="shared" si="3"/>
      </c>
      <c r="K71" s="61"/>
      <c r="L71" s="66">
        <f>IF(D71="","",IF(AND(MONTH(D71)='04_DS_Nhan_Viec_Trong_Thang'!$C$2,YEAR(D71)='04_DS_Nhan_Viec_Trong_Thang'!$E$2),SUMPRODUCT(($D$2:D71&lt;&gt;"")*(MONTH($D$2:D71)='04_DS_Nhan_Viec_Trong_Thang'!$C$2)*(YEAR($D$2:D71)='04_DS_Nhan_Viec_Trong_Thang'!$E$2)),""))</f>
      </c>
      <c r="M71" s="65">
        <f t="shared" si="4"/>
      </c>
      <c r="N71" s="61">
        <f t="array" ref="N71">IF($B71="","",IF($J71="","Đang theo dõi",IF(OR(IFERROR(INDEX('05_Theo_Doi_Gio_Cong_7_Ngay'!$R:$R,MATCH($J71,'05_Theo_Doi_Gio_Cong_7_Ngay'!$B:$B,0)),"")="",IFERROR(INDEX('05_Theo_Doi_Gio_Cong_7_Ngay'!$R:$R,MATCH($J71,'05_Theo_Doi_Gio_Cong_7_Ngay'!$B:$B,0)),0)=0),"Đang theo dõi",IFERROR(INDEX('06_DS_Chinh_Thuc'!$K:$K,MATCH(IFERROR(INDEX('05_Theo_Doi_Gio_Cong_7_Ngay'!$R:$R,MATCH($J71,'05_Theo_Doi_Gio_Cong_7_Ngay'!$B:$B,0)),0),'06_DS_Chinh_Thuc'!$B:$B,0)),"Đang theo dõi"))))</f>
      </c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ht="14.25" customHeight="1" spans="1:26" x14ac:dyDescent="0.25">
      <c r="A72" s="66">
        <f t="shared" si="0"/>
      </c>
      <c r="B72" s="61"/>
      <c r="C72" s="66">
        <f t="array" ref="C72">IF(B72="","",IFERROR(INDEX('01_UngVien_PhongVan'!$D:$D,MATCH(B72,'01_UngVien_PhongVan'!$B:$B,0)),"Không tìm thấy mã ứng viên"))</f>
      </c>
      <c r="D72" s="67">
        <f t="array" ref="D72">IF(B72="","",IFERROR(INDEX('01_UngVien_PhongVan'!$AZ:$AZ,MATCH(B72,'01_UngVien_PhongVan'!$B:$B,0)),""))</f>
      </c>
      <c r="E72" s="68"/>
      <c r="F72" s="66">
        <f t="shared" si="1"/>
      </c>
      <c r="G72" s="67">
        <f t="shared" si="2"/>
      </c>
      <c r="H72" s="61"/>
      <c r="I72" s="61"/>
      <c r="J72" s="66">
        <f t="shared" si="3"/>
      </c>
      <c r="K72" s="61"/>
      <c r="L72" s="66">
        <f>IF(D72="","",IF(AND(MONTH(D72)='04_DS_Nhan_Viec_Trong_Thang'!$C$2,YEAR(D72)='04_DS_Nhan_Viec_Trong_Thang'!$E$2),SUMPRODUCT(($D$2:D72&lt;&gt;"")*(MONTH($D$2:D72)='04_DS_Nhan_Viec_Trong_Thang'!$C$2)*(YEAR($D$2:D72)='04_DS_Nhan_Viec_Trong_Thang'!$E$2)),""))</f>
      </c>
      <c r="M72" s="65">
        <f t="shared" si="4"/>
      </c>
      <c r="N72" s="61">
        <f t="array" ref="N72">IF($B72="","",IF($J72="","Đang theo dõi",IF(OR(IFERROR(INDEX('05_Theo_Doi_Gio_Cong_7_Ngay'!$R:$R,MATCH($J72,'05_Theo_Doi_Gio_Cong_7_Ngay'!$B:$B,0)),"")="",IFERROR(INDEX('05_Theo_Doi_Gio_Cong_7_Ngay'!$R:$R,MATCH($J72,'05_Theo_Doi_Gio_Cong_7_Ngay'!$B:$B,0)),0)=0),"Đang theo dõi",IFERROR(INDEX('06_DS_Chinh_Thuc'!$K:$K,MATCH(IFERROR(INDEX('05_Theo_Doi_Gio_Cong_7_Ngay'!$R:$R,MATCH($J72,'05_Theo_Doi_Gio_Cong_7_Ngay'!$B:$B,0)),0),'06_DS_Chinh_Thuc'!$B:$B,0)),"Đang theo dõi"))))</f>
      </c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ht="14.25" customHeight="1" spans="1:26" x14ac:dyDescent="0.25">
      <c r="A73" s="66">
        <f t="shared" si="0"/>
      </c>
      <c r="B73" s="61"/>
      <c r="C73" s="66">
        <f t="array" ref="C73">IF(B73="","",IFERROR(INDEX('01_UngVien_PhongVan'!$D:$D,MATCH(B73,'01_UngVien_PhongVan'!$B:$B,0)),"Không tìm thấy mã ứng viên"))</f>
      </c>
      <c r="D73" s="67">
        <f t="array" ref="D73">IF(B73="","",IFERROR(INDEX('01_UngVien_PhongVan'!$AZ:$AZ,MATCH(B73,'01_UngVien_PhongVan'!$B:$B,0)),""))</f>
      </c>
      <c r="E73" s="68"/>
      <c r="F73" s="66">
        <f t="shared" si="1"/>
      </c>
      <c r="G73" s="67">
        <f t="shared" si="2"/>
      </c>
      <c r="H73" s="61"/>
      <c r="I73" s="61"/>
      <c r="J73" s="66">
        <f t="shared" si="3"/>
      </c>
      <c r="K73" s="61"/>
      <c r="L73" s="66">
        <f>IF(D73="","",IF(AND(MONTH(D73)='04_DS_Nhan_Viec_Trong_Thang'!$C$2,YEAR(D73)='04_DS_Nhan_Viec_Trong_Thang'!$E$2),SUMPRODUCT(($D$2:D73&lt;&gt;"")*(MONTH($D$2:D73)='04_DS_Nhan_Viec_Trong_Thang'!$C$2)*(YEAR($D$2:D73)='04_DS_Nhan_Viec_Trong_Thang'!$E$2)),""))</f>
      </c>
      <c r="M73" s="65">
        <f t="shared" si="4"/>
      </c>
      <c r="N73" s="61">
        <f t="array" ref="N73">IF($B73="","",IF($J73="","Đang theo dõi",IF(OR(IFERROR(INDEX('05_Theo_Doi_Gio_Cong_7_Ngay'!$R:$R,MATCH($J73,'05_Theo_Doi_Gio_Cong_7_Ngay'!$B:$B,0)),"")="",IFERROR(INDEX('05_Theo_Doi_Gio_Cong_7_Ngay'!$R:$R,MATCH($J73,'05_Theo_Doi_Gio_Cong_7_Ngay'!$B:$B,0)),0)=0),"Đang theo dõi",IFERROR(INDEX('06_DS_Chinh_Thuc'!$K:$K,MATCH(IFERROR(INDEX('05_Theo_Doi_Gio_Cong_7_Ngay'!$R:$R,MATCH($J73,'05_Theo_Doi_Gio_Cong_7_Ngay'!$B:$B,0)),0),'06_DS_Chinh_Thuc'!$B:$B,0)),"Đang theo dõi"))))</f>
      </c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ht="14.25" customHeight="1" spans="1:26" x14ac:dyDescent="0.25">
      <c r="A74" s="66">
        <f t="shared" si="0"/>
      </c>
      <c r="B74" s="61"/>
      <c r="C74" s="66">
        <f t="array" ref="C74">IF(B74="","",IFERROR(INDEX('01_UngVien_PhongVan'!$D:$D,MATCH(B74,'01_UngVien_PhongVan'!$B:$B,0)),"Không tìm thấy mã ứng viên"))</f>
      </c>
      <c r="D74" s="67">
        <f t="array" ref="D74">IF(B74="","",IFERROR(INDEX('01_UngVien_PhongVan'!$AZ:$AZ,MATCH(B74,'01_UngVien_PhongVan'!$B:$B,0)),""))</f>
      </c>
      <c r="E74" s="68"/>
      <c r="F74" s="66">
        <f t="shared" si="1"/>
      </c>
      <c r="G74" s="67">
        <f t="shared" si="2"/>
      </c>
      <c r="H74" s="61"/>
      <c r="I74" s="61"/>
      <c r="J74" s="66">
        <f t="shared" si="3"/>
      </c>
      <c r="K74" s="61"/>
      <c r="L74" s="66">
        <f>IF(D74="","",IF(AND(MONTH(D74)='04_DS_Nhan_Viec_Trong_Thang'!$C$2,YEAR(D74)='04_DS_Nhan_Viec_Trong_Thang'!$E$2),SUMPRODUCT(($D$2:D74&lt;&gt;"")*(MONTH($D$2:D74)='04_DS_Nhan_Viec_Trong_Thang'!$C$2)*(YEAR($D$2:D74)='04_DS_Nhan_Viec_Trong_Thang'!$E$2)),""))</f>
      </c>
      <c r="M74" s="65">
        <f t="shared" si="4"/>
      </c>
      <c r="N74" s="61">
        <f t="array" ref="N74">IF($B74="","",IF($J74="","Đang theo dõi",IF(OR(IFERROR(INDEX('05_Theo_Doi_Gio_Cong_7_Ngay'!$R:$R,MATCH($J74,'05_Theo_Doi_Gio_Cong_7_Ngay'!$B:$B,0)),"")="",IFERROR(INDEX('05_Theo_Doi_Gio_Cong_7_Ngay'!$R:$R,MATCH($J74,'05_Theo_Doi_Gio_Cong_7_Ngay'!$B:$B,0)),0)=0),"Đang theo dõi",IFERROR(INDEX('06_DS_Chinh_Thuc'!$K:$K,MATCH(IFERROR(INDEX('05_Theo_Doi_Gio_Cong_7_Ngay'!$R:$R,MATCH($J74,'05_Theo_Doi_Gio_Cong_7_Ngay'!$B:$B,0)),0),'06_DS_Chinh_Thuc'!$B:$B,0)),"Đang theo dõi"))))</f>
      </c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ht="14.25" customHeight="1" spans="1:26" x14ac:dyDescent="0.25">
      <c r="A75" s="66">
        <f t="shared" si="0"/>
      </c>
      <c r="B75" s="61"/>
      <c r="C75" s="66">
        <f t="array" ref="C75">IF(B75="","",IFERROR(INDEX('01_UngVien_PhongVan'!$D:$D,MATCH(B75,'01_UngVien_PhongVan'!$B:$B,0)),"Không tìm thấy mã ứng viên"))</f>
      </c>
      <c r="D75" s="67">
        <f t="array" ref="D75">IF(B75="","",IFERROR(INDEX('01_UngVien_PhongVan'!$AZ:$AZ,MATCH(B75,'01_UngVien_PhongVan'!$B:$B,0)),""))</f>
      </c>
      <c r="E75" s="68"/>
      <c r="F75" s="66">
        <f t="shared" si="1"/>
      </c>
      <c r="G75" s="67">
        <f t="shared" si="2"/>
      </c>
      <c r="H75" s="61"/>
      <c r="I75" s="61"/>
      <c r="J75" s="66">
        <f t="shared" si="3"/>
      </c>
      <c r="K75" s="61"/>
      <c r="L75" s="66">
        <f>IF(D75="","",IF(AND(MONTH(D75)='04_DS_Nhan_Viec_Trong_Thang'!$C$2,YEAR(D75)='04_DS_Nhan_Viec_Trong_Thang'!$E$2),SUMPRODUCT(($D$2:D75&lt;&gt;"")*(MONTH($D$2:D75)='04_DS_Nhan_Viec_Trong_Thang'!$C$2)*(YEAR($D$2:D75)='04_DS_Nhan_Viec_Trong_Thang'!$E$2)),""))</f>
      </c>
      <c r="M75" s="65">
        <f t="shared" si="4"/>
      </c>
      <c r="N75" s="61">
        <f t="array" ref="N75">IF($B75="","",IF($J75="","Đang theo dõi",IF(OR(IFERROR(INDEX('05_Theo_Doi_Gio_Cong_7_Ngay'!$R:$R,MATCH($J75,'05_Theo_Doi_Gio_Cong_7_Ngay'!$B:$B,0)),"")="",IFERROR(INDEX('05_Theo_Doi_Gio_Cong_7_Ngay'!$R:$R,MATCH($J75,'05_Theo_Doi_Gio_Cong_7_Ngay'!$B:$B,0)),0)=0),"Đang theo dõi",IFERROR(INDEX('06_DS_Chinh_Thuc'!$K:$K,MATCH(IFERROR(INDEX('05_Theo_Doi_Gio_Cong_7_Ngay'!$R:$R,MATCH($J75,'05_Theo_Doi_Gio_Cong_7_Ngay'!$B:$B,0)),0),'06_DS_Chinh_Thuc'!$B:$B,0)),"Đang theo dõi"))))</f>
      </c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ht="14.25" customHeight="1" spans="1:26" x14ac:dyDescent="0.25">
      <c r="A76" s="66">
        <f t="shared" si="0"/>
      </c>
      <c r="B76" s="61"/>
      <c r="C76" s="66">
        <f t="array" ref="C76">IF(B76="","",IFERROR(INDEX('01_UngVien_PhongVan'!$D:$D,MATCH(B76,'01_UngVien_PhongVan'!$B:$B,0)),"Không tìm thấy mã ứng viên"))</f>
      </c>
      <c r="D76" s="67">
        <f t="array" ref="D76">IF(B76="","",IFERROR(INDEX('01_UngVien_PhongVan'!$AZ:$AZ,MATCH(B76,'01_UngVien_PhongVan'!$B:$B,0)),""))</f>
      </c>
      <c r="E76" s="68"/>
      <c r="F76" s="66">
        <f t="shared" si="1"/>
      </c>
      <c r="G76" s="67">
        <f t="shared" si="2"/>
      </c>
      <c r="H76" s="61"/>
      <c r="I76" s="61"/>
      <c r="J76" s="66">
        <f t="shared" si="3"/>
      </c>
      <c r="K76" s="61"/>
      <c r="L76" s="66">
        <f>IF(D76="","",IF(AND(MONTH(D76)='04_DS_Nhan_Viec_Trong_Thang'!$C$2,YEAR(D76)='04_DS_Nhan_Viec_Trong_Thang'!$E$2),SUMPRODUCT(($D$2:D76&lt;&gt;"")*(MONTH($D$2:D76)='04_DS_Nhan_Viec_Trong_Thang'!$C$2)*(YEAR($D$2:D76)='04_DS_Nhan_Viec_Trong_Thang'!$E$2)),""))</f>
      </c>
      <c r="M76" s="65">
        <f t="shared" si="4"/>
      </c>
      <c r="N76" s="61">
        <f t="array" ref="N76">IF($B76="","",IF($J76="","Đang theo dõi",IF(OR(IFERROR(INDEX('05_Theo_Doi_Gio_Cong_7_Ngay'!$R:$R,MATCH($J76,'05_Theo_Doi_Gio_Cong_7_Ngay'!$B:$B,0)),"")="",IFERROR(INDEX('05_Theo_Doi_Gio_Cong_7_Ngay'!$R:$R,MATCH($J76,'05_Theo_Doi_Gio_Cong_7_Ngay'!$B:$B,0)),0)=0),"Đang theo dõi",IFERROR(INDEX('06_DS_Chinh_Thuc'!$K:$K,MATCH(IFERROR(INDEX('05_Theo_Doi_Gio_Cong_7_Ngay'!$R:$R,MATCH($J76,'05_Theo_Doi_Gio_Cong_7_Ngay'!$B:$B,0)),0),'06_DS_Chinh_Thuc'!$B:$B,0)),"Đang theo dõi"))))</f>
      </c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ht="14.25" customHeight="1" spans="1:26" x14ac:dyDescent="0.25">
      <c r="A77" s="66">
        <f t="shared" si="0"/>
      </c>
      <c r="B77" s="61"/>
      <c r="C77" s="66">
        <f t="array" ref="C77">IF(B77="","",IFERROR(INDEX('01_UngVien_PhongVan'!$D:$D,MATCH(B77,'01_UngVien_PhongVan'!$B:$B,0)),"Không tìm thấy mã ứng viên"))</f>
      </c>
      <c r="D77" s="67">
        <f t="array" ref="D77">IF(B77="","",IFERROR(INDEX('01_UngVien_PhongVan'!$AZ:$AZ,MATCH(B77,'01_UngVien_PhongVan'!$B:$B,0)),""))</f>
      </c>
      <c r="E77" s="68"/>
      <c r="F77" s="66">
        <f t="shared" si="1"/>
      </c>
      <c r="G77" s="67">
        <f t="shared" si="2"/>
      </c>
      <c r="H77" s="61"/>
      <c r="I77" s="61"/>
      <c r="J77" s="66">
        <f t="shared" si="3"/>
      </c>
      <c r="K77" s="61"/>
      <c r="L77" s="66">
        <f>IF(D77="","",IF(AND(MONTH(D77)='04_DS_Nhan_Viec_Trong_Thang'!$C$2,YEAR(D77)='04_DS_Nhan_Viec_Trong_Thang'!$E$2),SUMPRODUCT(($D$2:D77&lt;&gt;"")*(MONTH($D$2:D77)='04_DS_Nhan_Viec_Trong_Thang'!$C$2)*(YEAR($D$2:D77)='04_DS_Nhan_Viec_Trong_Thang'!$E$2)),""))</f>
      </c>
      <c r="M77" s="65">
        <f t="shared" si="4"/>
      </c>
      <c r="N77" s="61">
        <f t="array" ref="N77">IF($B77="","",IF($J77="","Đang theo dõi",IF(OR(IFERROR(INDEX('05_Theo_Doi_Gio_Cong_7_Ngay'!$R:$R,MATCH($J77,'05_Theo_Doi_Gio_Cong_7_Ngay'!$B:$B,0)),"")="",IFERROR(INDEX('05_Theo_Doi_Gio_Cong_7_Ngay'!$R:$R,MATCH($J77,'05_Theo_Doi_Gio_Cong_7_Ngay'!$B:$B,0)),0)=0),"Đang theo dõi",IFERROR(INDEX('06_DS_Chinh_Thuc'!$K:$K,MATCH(IFERROR(INDEX('05_Theo_Doi_Gio_Cong_7_Ngay'!$R:$R,MATCH($J77,'05_Theo_Doi_Gio_Cong_7_Ngay'!$B:$B,0)),0),'06_DS_Chinh_Thuc'!$B:$B,0)),"Đang theo dõi"))))</f>
      </c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ht="14.25" customHeight="1" spans="1:26" x14ac:dyDescent="0.25">
      <c r="A78" s="66">
        <f t="shared" si="0"/>
      </c>
      <c r="B78" s="61"/>
      <c r="C78" s="66">
        <f t="array" ref="C78">IF(B78="","",IFERROR(INDEX('01_UngVien_PhongVan'!$D:$D,MATCH(B78,'01_UngVien_PhongVan'!$B:$B,0)),"Không tìm thấy mã ứng viên"))</f>
      </c>
      <c r="D78" s="67">
        <f t="array" ref="D78">IF(B78="","",IFERROR(INDEX('01_UngVien_PhongVan'!$AZ:$AZ,MATCH(B78,'01_UngVien_PhongVan'!$B:$B,0)),""))</f>
      </c>
      <c r="E78" s="68"/>
      <c r="F78" s="66">
        <f t="shared" si="1"/>
      </c>
      <c r="G78" s="67">
        <f t="shared" si="2"/>
      </c>
      <c r="H78" s="61"/>
      <c r="I78" s="61"/>
      <c r="J78" s="66">
        <f t="shared" si="3"/>
      </c>
      <c r="K78" s="61"/>
      <c r="L78" s="66">
        <f>IF(D78="","",IF(AND(MONTH(D78)='04_DS_Nhan_Viec_Trong_Thang'!$C$2,YEAR(D78)='04_DS_Nhan_Viec_Trong_Thang'!$E$2),SUMPRODUCT(($D$2:D78&lt;&gt;"")*(MONTH($D$2:D78)='04_DS_Nhan_Viec_Trong_Thang'!$C$2)*(YEAR($D$2:D78)='04_DS_Nhan_Viec_Trong_Thang'!$E$2)),""))</f>
      </c>
      <c r="M78" s="65">
        <f t="shared" si="4"/>
      </c>
      <c r="N78" s="61">
        <f t="array" ref="N78">IF($B78="","",IF($J78="","Đang theo dõi",IF(OR(IFERROR(INDEX('05_Theo_Doi_Gio_Cong_7_Ngay'!$R:$R,MATCH($J78,'05_Theo_Doi_Gio_Cong_7_Ngay'!$B:$B,0)),"")="",IFERROR(INDEX('05_Theo_Doi_Gio_Cong_7_Ngay'!$R:$R,MATCH($J78,'05_Theo_Doi_Gio_Cong_7_Ngay'!$B:$B,0)),0)=0),"Đang theo dõi",IFERROR(INDEX('06_DS_Chinh_Thuc'!$K:$K,MATCH(IFERROR(INDEX('05_Theo_Doi_Gio_Cong_7_Ngay'!$R:$R,MATCH($J78,'05_Theo_Doi_Gio_Cong_7_Ngay'!$B:$B,0)),0),'06_DS_Chinh_Thuc'!$B:$B,0)),"Đang theo dõi"))))</f>
      </c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ht="14.25" customHeight="1" spans="1:26" x14ac:dyDescent="0.25">
      <c r="A79" s="66">
        <f t="shared" si="0"/>
      </c>
      <c r="B79" s="61"/>
      <c r="C79" s="66">
        <f t="array" ref="C79">IF(B79="","",IFERROR(INDEX('01_UngVien_PhongVan'!$D:$D,MATCH(B79,'01_UngVien_PhongVan'!$B:$B,0)),"Không tìm thấy mã ứng viên"))</f>
      </c>
      <c r="D79" s="67">
        <f t="array" ref="D79">IF(B79="","",IFERROR(INDEX('01_UngVien_PhongVan'!$AZ:$AZ,MATCH(B79,'01_UngVien_PhongVan'!$B:$B,0)),""))</f>
      </c>
      <c r="E79" s="68"/>
      <c r="F79" s="66">
        <f t="shared" si="1"/>
      </c>
      <c r="G79" s="67">
        <f t="shared" si="2"/>
      </c>
      <c r="H79" s="61"/>
      <c r="I79" s="61"/>
      <c r="J79" s="66">
        <f t="shared" si="3"/>
      </c>
      <c r="K79" s="61"/>
      <c r="L79" s="66">
        <f>IF(D79="","",IF(AND(MONTH(D79)='04_DS_Nhan_Viec_Trong_Thang'!$C$2,YEAR(D79)='04_DS_Nhan_Viec_Trong_Thang'!$E$2),SUMPRODUCT(($D$2:D79&lt;&gt;"")*(MONTH($D$2:D79)='04_DS_Nhan_Viec_Trong_Thang'!$C$2)*(YEAR($D$2:D79)='04_DS_Nhan_Viec_Trong_Thang'!$E$2)),""))</f>
      </c>
      <c r="M79" s="65">
        <f t="shared" si="4"/>
      </c>
      <c r="N79" s="61">
        <f t="array" ref="N79">IF($B79="","",IF($J79="","Đang theo dõi",IF(OR(IFERROR(INDEX('05_Theo_Doi_Gio_Cong_7_Ngay'!$R:$R,MATCH($J79,'05_Theo_Doi_Gio_Cong_7_Ngay'!$B:$B,0)),"")="",IFERROR(INDEX('05_Theo_Doi_Gio_Cong_7_Ngay'!$R:$R,MATCH($J79,'05_Theo_Doi_Gio_Cong_7_Ngay'!$B:$B,0)),0)=0),"Đang theo dõi",IFERROR(INDEX('06_DS_Chinh_Thuc'!$K:$K,MATCH(IFERROR(INDEX('05_Theo_Doi_Gio_Cong_7_Ngay'!$R:$R,MATCH($J79,'05_Theo_Doi_Gio_Cong_7_Ngay'!$B:$B,0)),0),'06_DS_Chinh_Thuc'!$B:$B,0)),"Đang theo dõi"))))</f>
      </c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ht="14.25" customHeight="1" spans="1:26" x14ac:dyDescent="0.25">
      <c r="A80" s="66">
        <f t="shared" si="0"/>
      </c>
      <c r="B80" s="61"/>
      <c r="C80" s="66">
        <f t="array" ref="C80">IF(B80="","",IFERROR(INDEX('01_UngVien_PhongVan'!$D:$D,MATCH(B80,'01_UngVien_PhongVan'!$B:$B,0)),"Không tìm thấy mã ứng viên"))</f>
      </c>
      <c r="D80" s="67">
        <f t="array" ref="D80">IF(B80="","",IFERROR(INDEX('01_UngVien_PhongVan'!$AZ:$AZ,MATCH(B80,'01_UngVien_PhongVan'!$B:$B,0)),""))</f>
      </c>
      <c r="E80" s="68"/>
      <c r="F80" s="66">
        <f t="shared" si="1"/>
      </c>
      <c r="G80" s="67">
        <f t="shared" si="2"/>
      </c>
      <c r="H80" s="61"/>
      <c r="I80" s="61"/>
      <c r="J80" s="66">
        <f t="shared" si="3"/>
      </c>
      <c r="K80" s="61"/>
      <c r="L80" s="66">
        <f>IF(D80="","",IF(AND(MONTH(D80)='04_DS_Nhan_Viec_Trong_Thang'!$C$2,YEAR(D80)='04_DS_Nhan_Viec_Trong_Thang'!$E$2),SUMPRODUCT(($D$2:D80&lt;&gt;"")*(MONTH($D$2:D80)='04_DS_Nhan_Viec_Trong_Thang'!$C$2)*(YEAR($D$2:D80)='04_DS_Nhan_Viec_Trong_Thang'!$E$2)),""))</f>
      </c>
      <c r="M80" s="65">
        <f t="shared" si="4"/>
      </c>
      <c r="N80" s="61">
        <f t="array" ref="N80">IF($B80="","",IF($J80="","Đang theo dõi",IF(OR(IFERROR(INDEX('05_Theo_Doi_Gio_Cong_7_Ngay'!$R:$R,MATCH($J80,'05_Theo_Doi_Gio_Cong_7_Ngay'!$B:$B,0)),"")="",IFERROR(INDEX('05_Theo_Doi_Gio_Cong_7_Ngay'!$R:$R,MATCH($J80,'05_Theo_Doi_Gio_Cong_7_Ngay'!$B:$B,0)),0)=0),"Đang theo dõi",IFERROR(INDEX('06_DS_Chinh_Thuc'!$K:$K,MATCH(IFERROR(INDEX('05_Theo_Doi_Gio_Cong_7_Ngay'!$R:$R,MATCH($J80,'05_Theo_Doi_Gio_Cong_7_Ngay'!$B:$B,0)),0),'06_DS_Chinh_Thuc'!$B:$B,0)),"Đang theo dõi"))))</f>
      </c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ht="14.25" customHeight="1" spans="1:26" x14ac:dyDescent="0.25">
      <c r="A81" s="66">
        <f t="shared" si="0"/>
      </c>
      <c r="B81" s="61"/>
      <c r="C81" s="66">
        <f t="array" ref="C81">IF(B81="","",IFERROR(INDEX('01_UngVien_PhongVan'!$D:$D,MATCH(B81,'01_UngVien_PhongVan'!$B:$B,0)),"Không tìm thấy mã ứng viên"))</f>
      </c>
      <c r="D81" s="67">
        <f t="array" ref="D81">IF(B81="","",IFERROR(INDEX('01_UngVien_PhongVan'!$AZ:$AZ,MATCH(B81,'01_UngVien_PhongVan'!$B:$B,0)),""))</f>
      </c>
      <c r="E81" s="68"/>
      <c r="F81" s="66">
        <f t="shared" si="1"/>
      </c>
      <c r="G81" s="67">
        <f t="shared" si="2"/>
      </c>
      <c r="H81" s="61"/>
      <c r="I81" s="61"/>
      <c r="J81" s="66">
        <f t="shared" si="3"/>
      </c>
      <c r="K81" s="61"/>
      <c r="L81" s="66">
        <f>IF(D81="","",IF(AND(MONTH(D81)='04_DS_Nhan_Viec_Trong_Thang'!$C$2,YEAR(D81)='04_DS_Nhan_Viec_Trong_Thang'!$E$2),SUMPRODUCT(($D$2:D81&lt;&gt;"")*(MONTH($D$2:D81)='04_DS_Nhan_Viec_Trong_Thang'!$C$2)*(YEAR($D$2:D81)='04_DS_Nhan_Viec_Trong_Thang'!$E$2)),""))</f>
      </c>
      <c r="M81" s="65">
        <f t="shared" si="4"/>
      </c>
      <c r="N81" s="61">
        <f t="array" ref="N81">IF($B81="","",IF($J81="","Đang theo dõi",IF(OR(IFERROR(INDEX('05_Theo_Doi_Gio_Cong_7_Ngay'!$R:$R,MATCH($J81,'05_Theo_Doi_Gio_Cong_7_Ngay'!$B:$B,0)),"")="",IFERROR(INDEX('05_Theo_Doi_Gio_Cong_7_Ngay'!$R:$R,MATCH($J81,'05_Theo_Doi_Gio_Cong_7_Ngay'!$B:$B,0)),0)=0),"Đang theo dõi",IFERROR(INDEX('06_DS_Chinh_Thuc'!$K:$K,MATCH(IFERROR(INDEX('05_Theo_Doi_Gio_Cong_7_Ngay'!$R:$R,MATCH($J81,'05_Theo_Doi_Gio_Cong_7_Ngay'!$B:$B,0)),0),'06_DS_Chinh_Thuc'!$B:$B,0)),"Đang theo dõi"))))</f>
      </c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ht="14.25" customHeight="1" spans="1:26" x14ac:dyDescent="0.25">
      <c r="A82" s="66">
        <f t="shared" si="0"/>
      </c>
      <c r="B82" s="61"/>
      <c r="C82" s="66">
        <f t="array" ref="C82">IF(B82="","",IFERROR(INDEX('01_UngVien_PhongVan'!$D:$D,MATCH(B82,'01_UngVien_PhongVan'!$B:$B,0)),"Không tìm thấy mã ứng viên"))</f>
      </c>
      <c r="D82" s="67">
        <f t="array" ref="D82">IF(B82="","",IFERROR(INDEX('01_UngVien_PhongVan'!$AZ:$AZ,MATCH(B82,'01_UngVien_PhongVan'!$B:$B,0)),""))</f>
      </c>
      <c r="E82" s="68"/>
      <c r="F82" s="66">
        <f t="shared" si="1"/>
      </c>
      <c r="G82" s="67">
        <f t="shared" si="2"/>
      </c>
      <c r="H82" s="61"/>
      <c r="I82" s="61"/>
      <c r="J82" s="66">
        <f t="shared" si="3"/>
      </c>
      <c r="K82" s="61"/>
      <c r="L82" s="66">
        <f>IF(D82="","",IF(AND(MONTH(D82)='04_DS_Nhan_Viec_Trong_Thang'!$C$2,YEAR(D82)='04_DS_Nhan_Viec_Trong_Thang'!$E$2),SUMPRODUCT(($D$2:D82&lt;&gt;"")*(MONTH($D$2:D82)='04_DS_Nhan_Viec_Trong_Thang'!$C$2)*(YEAR($D$2:D82)='04_DS_Nhan_Viec_Trong_Thang'!$E$2)),""))</f>
      </c>
      <c r="M82" s="65">
        <f t="shared" si="4"/>
      </c>
      <c r="N82" s="61">
        <f t="array" ref="N82">IF($B82="","",IF($J82="","Đang theo dõi",IF(OR(IFERROR(INDEX('05_Theo_Doi_Gio_Cong_7_Ngay'!$R:$R,MATCH($J82,'05_Theo_Doi_Gio_Cong_7_Ngay'!$B:$B,0)),"")="",IFERROR(INDEX('05_Theo_Doi_Gio_Cong_7_Ngay'!$R:$R,MATCH($J82,'05_Theo_Doi_Gio_Cong_7_Ngay'!$B:$B,0)),0)=0),"Đang theo dõi",IFERROR(INDEX('06_DS_Chinh_Thuc'!$K:$K,MATCH(IFERROR(INDEX('05_Theo_Doi_Gio_Cong_7_Ngay'!$R:$R,MATCH($J82,'05_Theo_Doi_Gio_Cong_7_Ngay'!$B:$B,0)),0),'06_DS_Chinh_Thuc'!$B:$B,0)),"Đang theo dõi"))))</f>
      </c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ht="14.25" customHeight="1" spans="1:26" x14ac:dyDescent="0.25">
      <c r="A83" s="66">
        <f t="shared" si="0"/>
      </c>
      <c r="B83" s="61"/>
      <c r="C83" s="66">
        <f t="array" ref="C83">IF(B83="","",IFERROR(INDEX('01_UngVien_PhongVan'!$D:$D,MATCH(B83,'01_UngVien_PhongVan'!$B:$B,0)),"Không tìm thấy mã ứng viên"))</f>
      </c>
      <c r="D83" s="67">
        <f t="array" ref="D83">IF(B83="","",IFERROR(INDEX('01_UngVien_PhongVan'!$AZ:$AZ,MATCH(B83,'01_UngVien_PhongVan'!$B:$B,0)),""))</f>
      </c>
      <c r="E83" s="68"/>
      <c r="F83" s="66">
        <f t="shared" si="1"/>
      </c>
      <c r="G83" s="67">
        <f t="shared" si="2"/>
      </c>
      <c r="H83" s="61"/>
      <c r="I83" s="61"/>
      <c r="J83" s="66">
        <f t="shared" si="3"/>
      </c>
      <c r="K83" s="61"/>
      <c r="L83" s="66">
        <f>IF(D83="","",IF(AND(MONTH(D83)='04_DS_Nhan_Viec_Trong_Thang'!$C$2,YEAR(D83)='04_DS_Nhan_Viec_Trong_Thang'!$E$2),SUMPRODUCT(($D$2:D83&lt;&gt;"")*(MONTH($D$2:D83)='04_DS_Nhan_Viec_Trong_Thang'!$C$2)*(YEAR($D$2:D83)='04_DS_Nhan_Viec_Trong_Thang'!$E$2)),""))</f>
      </c>
      <c r="M83" s="65">
        <f t="shared" si="4"/>
      </c>
      <c r="N83" s="61">
        <f t="array" ref="N83">IF($B83="","",IF($J83="","Đang theo dõi",IF(OR(IFERROR(INDEX('05_Theo_Doi_Gio_Cong_7_Ngay'!$R:$R,MATCH($J83,'05_Theo_Doi_Gio_Cong_7_Ngay'!$B:$B,0)),"")="",IFERROR(INDEX('05_Theo_Doi_Gio_Cong_7_Ngay'!$R:$R,MATCH($J83,'05_Theo_Doi_Gio_Cong_7_Ngay'!$B:$B,0)),0)=0),"Đang theo dõi",IFERROR(INDEX('06_DS_Chinh_Thuc'!$K:$K,MATCH(IFERROR(INDEX('05_Theo_Doi_Gio_Cong_7_Ngay'!$R:$R,MATCH($J83,'05_Theo_Doi_Gio_Cong_7_Ngay'!$B:$B,0)),0),'06_DS_Chinh_Thuc'!$B:$B,0)),"Đang theo dõi"))))</f>
      </c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ht="14.25" customHeight="1" spans="1:26" x14ac:dyDescent="0.25">
      <c r="A84" s="66">
        <f t="shared" si="0"/>
      </c>
      <c r="B84" s="61"/>
      <c r="C84" s="66">
        <f t="array" ref="C84">IF(B84="","",IFERROR(INDEX('01_UngVien_PhongVan'!$D:$D,MATCH(B84,'01_UngVien_PhongVan'!$B:$B,0)),"Không tìm thấy mã ứng viên"))</f>
      </c>
      <c r="D84" s="67">
        <f t="array" ref="D84">IF(B84="","",IFERROR(INDEX('01_UngVien_PhongVan'!$AZ:$AZ,MATCH(B84,'01_UngVien_PhongVan'!$B:$B,0)),""))</f>
      </c>
      <c r="E84" s="68"/>
      <c r="F84" s="66">
        <f t="shared" si="1"/>
      </c>
      <c r="G84" s="67">
        <f t="shared" si="2"/>
      </c>
      <c r="H84" s="61"/>
      <c r="I84" s="61"/>
      <c r="J84" s="66">
        <f t="shared" si="3"/>
      </c>
      <c r="K84" s="61"/>
      <c r="L84" s="66">
        <f>IF(D84="","",IF(AND(MONTH(D84)='04_DS_Nhan_Viec_Trong_Thang'!$C$2,YEAR(D84)='04_DS_Nhan_Viec_Trong_Thang'!$E$2),SUMPRODUCT(($D$2:D84&lt;&gt;"")*(MONTH($D$2:D84)='04_DS_Nhan_Viec_Trong_Thang'!$C$2)*(YEAR($D$2:D84)='04_DS_Nhan_Viec_Trong_Thang'!$E$2)),""))</f>
      </c>
      <c r="M84" s="65">
        <f t="shared" si="4"/>
      </c>
      <c r="N84" s="61">
        <f t="array" ref="N84">IF($B84="","",IF($J84="","Đang theo dõi",IF(OR(IFERROR(INDEX('05_Theo_Doi_Gio_Cong_7_Ngay'!$R:$R,MATCH($J84,'05_Theo_Doi_Gio_Cong_7_Ngay'!$B:$B,0)),"")="",IFERROR(INDEX('05_Theo_Doi_Gio_Cong_7_Ngay'!$R:$R,MATCH($J84,'05_Theo_Doi_Gio_Cong_7_Ngay'!$B:$B,0)),0)=0),"Đang theo dõi",IFERROR(INDEX('06_DS_Chinh_Thuc'!$K:$K,MATCH(IFERROR(INDEX('05_Theo_Doi_Gio_Cong_7_Ngay'!$R:$R,MATCH($J84,'05_Theo_Doi_Gio_Cong_7_Ngay'!$B:$B,0)),0),'06_DS_Chinh_Thuc'!$B:$B,0)),"Đang theo dõi"))))</f>
      </c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ht="14.25" customHeight="1" spans="1:26" x14ac:dyDescent="0.25">
      <c r="A85" s="66">
        <f t="shared" si="0"/>
      </c>
      <c r="B85" s="61"/>
      <c r="C85" s="66">
        <f t="array" ref="C85">IF(B85="","",IFERROR(INDEX('01_UngVien_PhongVan'!$D:$D,MATCH(B85,'01_UngVien_PhongVan'!$B:$B,0)),"Không tìm thấy mã ứng viên"))</f>
      </c>
      <c r="D85" s="67">
        <f t="array" ref="D85">IF(B85="","",IFERROR(INDEX('01_UngVien_PhongVan'!$AZ:$AZ,MATCH(B85,'01_UngVien_PhongVan'!$B:$B,0)),""))</f>
      </c>
      <c r="E85" s="68"/>
      <c r="F85" s="66">
        <f t="shared" si="1"/>
      </c>
      <c r="G85" s="67">
        <f t="shared" si="2"/>
      </c>
      <c r="H85" s="61"/>
      <c r="I85" s="61"/>
      <c r="J85" s="66">
        <f t="shared" si="3"/>
      </c>
      <c r="K85" s="61"/>
      <c r="L85" s="66">
        <f>IF(D85="","",IF(AND(MONTH(D85)='04_DS_Nhan_Viec_Trong_Thang'!$C$2,YEAR(D85)='04_DS_Nhan_Viec_Trong_Thang'!$E$2),SUMPRODUCT(($D$2:D85&lt;&gt;"")*(MONTH($D$2:D85)='04_DS_Nhan_Viec_Trong_Thang'!$C$2)*(YEAR($D$2:D85)='04_DS_Nhan_Viec_Trong_Thang'!$E$2)),""))</f>
      </c>
      <c r="M85" s="65">
        <f t="shared" si="4"/>
      </c>
      <c r="N85" s="61">
        <f t="array" ref="N85">IF($B85="","",IF($J85="","Đang theo dõi",IF(OR(IFERROR(INDEX('05_Theo_Doi_Gio_Cong_7_Ngay'!$R:$R,MATCH($J85,'05_Theo_Doi_Gio_Cong_7_Ngay'!$B:$B,0)),"")="",IFERROR(INDEX('05_Theo_Doi_Gio_Cong_7_Ngay'!$R:$R,MATCH($J85,'05_Theo_Doi_Gio_Cong_7_Ngay'!$B:$B,0)),0)=0),"Đang theo dõi",IFERROR(INDEX('06_DS_Chinh_Thuc'!$K:$K,MATCH(IFERROR(INDEX('05_Theo_Doi_Gio_Cong_7_Ngay'!$R:$R,MATCH($J85,'05_Theo_Doi_Gio_Cong_7_Ngay'!$B:$B,0)),0),'06_DS_Chinh_Thuc'!$B:$B,0)),"Đang theo dõi"))))</f>
      </c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ht="14.25" customHeight="1" spans="1:26" x14ac:dyDescent="0.25">
      <c r="A86" s="66">
        <f t="shared" si="0"/>
      </c>
      <c r="B86" s="61"/>
      <c r="C86" s="66">
        <f t="array" ref="C86">IF(B86="","",IFERROR(INDEX('01_UngVien_PhongVan'!$D:$D,MATCH(B86,'01_UngVien_PhongVan'!$B:$B,0)),"Không tìm thấy mã ứng viên"))</f>
      </c>
      <c r="D86" s="67">
        <f t="array" ref="D86">IF(B86="","",IFERROR(INDEX('01_UngVien_PhongVan'!$AZ:$AZ,MATCH(B86,'01_UngVien_PhongVan'!$B:$B,0)),""))</f>
      </c>
      <c r="E86" s="68"/>
      <c r="F86" s="66">
        <f t="shared" si="1"/>
      </c>
      <c r="G86" s="67">
        <f t="shared" si="2"/>
      </c>
      <c r="H86" s="61"/>
      <c r="I86" s="61"/>
      <c r="J86" s="66">
        <f t="shared" si="3"/>
      </c>
      <c r="K86" s="61"/>
      <c r="L86" s="66">
        <f>IF(D86="","",IF(AND(MONTH(D86)='04_DS_Nhan_Viec_Trong_Thang'!$C$2,YEAR(D86)='04_DS_Nhan_Viec_Trong_Thang'!$E$2),SUMPRODUCT(($D$2:D86&lt;&gt;"")*(MONTH($D$2:D86)='04_DS_Nhan_Viec_Trong_Thang'!$C$2)*(YEAR($D$2:D86)='04_DS_Nhan_Viec_Trong_Thang'!$E$2)),""))</f>
      </c>
      <c r="M86" s="65">
        <f t="shared" si="4"/>
      </c>
      <c r="N86" s="61">
        <f t="array" ref="N86">IF($B86="","",IF($J86="","Đang theo dõi",IF(OR(IFERROR(INDEX('05_Theo_Doi_Gio_Cong_7_Ngay'!$R:$R,MATCH($J86,'05_Theo_Doi_Gio_Cong_7_Ngay'!$B:$B,0)),"")="",IFERROR(INDEX('05_Theo_Doi_Gio_Cong_7_Ngay'!$R:$R,MATCH($J86,'05_Theo_Doi_Gio_Cong_7_Ngay'!$B:$B,0)),0)=0),"Đang theo dõi",IFERROR(INDEX('06_DS_Chinh_Thuc'!$K:$K,MATCH(IFERROR(INDEX('05_Theo_Doi_Gio_Cong_7_Ngay'!$R:$R,MATCH($J86,'05_Theo_Doi_Gio_Cong_7_Ngay'!$B:$B,0)),0),'06_DS_Chinh_Thuc'!$B:$B,0)),"Đang theo dõi"))))</f>
      </c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ht="14.25" customHeight="1" spans="1:26" x14ac:dyDescent="0.25">
      <c r="A87" s="66">
        <f t="shared" si="0"/>
      </c>
      <c r="B87" s="61"/>
      <c r="C87" s="66">
        <f t="array" ref="C87">IF(B87="","",IFERROR(INDEX('01_UngVien_PhongVan'!$D:$D,MATCH(B87,'01_UngVien_PhongVan'!$B:$B,0)),"Không tìm thấy mã ứng viên"))</f>
      </c>
      <c r="D87" s="67">
        <f t="array" ref="D87">IF(B87="","",IFERROR(INDEX('01_UngVien_PhongVan'!$AZ:$AZ,MATCH(B87,'01_UngVien_PhongVan'!$B:$B,0)),""))</f>
      </c>
      <c r="E87" s="68"/>
      <c r="F87" s="66">
        <f t="shared" si="1"/>
      </c>
      <c r="G87" s="67">
        <f t="shared" si="2"/>
      </c>
      <c r="H87" s="61"/>
      <c r="I87" s="61"/>
      <c r="J87" s="66">
        <f t="shared" si="3"/>
      </c>
      <c r="K87" s="61"/>
      <c r="L87" s="66">
        <f>IF(D87="","",IF(AND(MONTH(D87)='04_DS_Nhan_Viec_Trong_Thang'!$C$2,YEAR(D87)='04_DS_Nhan_Viec_Trong_Thang'!$E$2),SUMPRODUCT(($D$2:D87&lt;&gt;"")*(MONTH($D$2:D87)='04_DS_Nhan_Viec_Trong_Thang'!$C$2)*(YEAR($D$2:D87)='04_DS_Nhan_Viec_Trong_Thang'!$E$2)),""))</f>
      </c>
      <c r="M87" s="65">
        <f t="shared" si="4"/>
      </c>
      <c r="N87" s="61">
        <f t="array" ref="N87">IF($B87="","",IF($J87="","Đang theo dõi",IF(OR(IFERROR(INDEX('05_Theo_Doi_Gio_Cong_7_Ngay'!$R:$R,MATCH($J87,'05_Theo_Doi_Gio_Cong_7_Ngay'!$B:$B,0)),"")="",IFERROR(INDEX('05_Theo_Doi_Gio_Cong_7_Ngay'!$R:$R,MATCH($J87,'05_Theo_Doi_Gio_Cong_7_Ngay'!$B:$B,0)),0)=0),"Đang theo dõi",IFERROR(INDEX('06_DS_Chinh_Thuc'!$K:$K,MATCH(IFERROR(INDEX('05_Theo_Doi_Gio_Cong_7_Ngay'!$R:$R,MATCH($J87,'05_Theo_Doi_Gio_Cong_7_Ngay'!$B:$B,0)),0),'06_DS_Chinh_Thuc'!$B:$B,0)),"Đang theo dõi"))))</f>
      </c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ht="14.25" customHeight="1" spans="1:26" x14ac:dyDescent="0.25">
      <c r="A88" s="66">
        <f t="shared" si="0"/>
      </c>
      <c r="B88" s="61"/>
      <c r="C88" s="66">
        <f t="array" ref="C88">IF(B88="","",IFERROR(INDEX('01_UngVien_PhongVan'!$D:$D,MATCH(B88,'01_UngVien_PhongVan'!$B:$B,0)),"Không tìm thấy mã ứng viên"))</f>
      </c>
      <c r="D88" s="67">
        <f t="array" ref="D88">IF(B88="","",IFERROR(INDEX('01_UngVien_PhongVan'!$AZ:$AZ,MATCH(B88,'01_UngVien_PhongVan'!$B:$B,0)),""))</f>
      </c>
      <c r="E88" s="68"/>
      <c r="F88" s="66">
        <f t="shared" si="1"/>
      </c>
      <c r="G88" s="67">
        <f t="shared" si="2"/>
      </c>
      <c r="H88" s="61"/>
      <c r="I88" s="61"/>
      <c r="J88" s="66">
        <f t="shared" si="3"/>
      </c>
      <c r="K88" s="61"/>
      <c r="L88" s="66">
        <f>IF(D88="","",IF(AND(MONTH(D88)='04_DS_Nhan_Viec_Trong_Thang'!$C$2,YEAR(D88)='04_DS_Nhan_Viec_Trong_Thang'!$E$2),SUMPRODUCT(($D$2:D88&lt;&gt;"")*(MONTH($D$2:D88)='04_DS_Nhan_Viec_Trong_Thang'!$C$2)*(YEAR($D$2:D88)='04_DS_Nhan_Viec_Trong_Thang'!$E$2)),""))</f>
      </c>
      <c r="M88" s="65">
        <f t="shared" si="4"/>
      </c>
      <c r="N88" s="61">
        <f t="array" ref="N88">IF($B88="","",IF($J88="","Đang theo dõi",IF(OR(IFERROR(INDEX('05_Theo_Doi_Gio_Cong_7_Ngay'!$R:$R,MATCH($J88,'05_Theo_Doi_Gio_Cong_7_Ngay'!$B:$B,0)),"")="",IFERROR(INDEX('05_Theo_Doi_Gio_Cong_7_Ngay'!$R:$R,MATCH($J88,'05_Theo_Doi_Gio_Cong_7_Ngay'!$B:$B,0)),0)=0),"Đang theo dõi",IFERROR(INDEX('06_DS_Chinh_Thuc'!$K:$K,MATCH(IFERROR(INDEX('05_Theo_Doi_Gio_Cong_7_Ngay'!$R:$R,MATCH($J88,'05_Theo_Doi_Gio_Cong_7_Ngay'!$B:$B,0)),0),'06_DS_Chinh_Thuc'!$B:$B,0)),"Đang theo dõi"))))</f>
      </c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ht="14.25" customHeight="1" spans="1:26" x14ac:dyDescent="0.25">
      <c r="A89" s="66">
        <f t="shared" si="0"/>
      </c>
      <c r="B89" s="61"/>
      <c r="C89" s="66">
        <f t="array" ref="C89">IF(B89="","",IFERROR(INDEX('01_UngVien_PhongVan'!$D:$D,MATCH(B89,'01_UngVien_PhongVan'!$B:$B,0)),"Không tìm thấy mã ứng viên"))</f>
      </c>
      <c r="D89" s="67">
        <f t="array" ref="D89">IF(B89="","",IFERROR(INDEX('01_UngVien_PhongVan'!$AZ:$AZ,MATCH(B89,'01_UngVien_PhongVan'!$B:$B,0)),""))</f>
      </c>
      <c r="E89" s="68"/>
      <c r="F89" s="66">
        <f t="shared" si="1"/>
      </c>
      <c r="G89" s="67">
        <f t="shared" si="2"/>
      </c>
      <c r="H89" s="61"/>
      <c r="I89" s="61"/>
      <c r="J89" s="66">
        <f t="shared" si="3"/>
      </c>
      <c r="K89" s="61"/>
      <c r="L89" s="66">
        <f>IF(D89="","",IF(AND(MONTH(D89)='04_DS_Nhan_Viec_Trong_Thang'!$C$2,YEAR(D89)='04_DS_Nhan_Viec_Trong_Thang'!$E$2),SUMPRODUCT(($D$2:D89&lt;&gt;"")*(MONTH($D$2:D89)='04_DS_Nhan_Viec_Trong_Thang'!$C$2)*(YEAR($D$2:D89)='04_DS_Nhan_Viec_Trong_Thang'!$E$2)),""))</f>
      </c>
      <c r="M89" s="65">
        <f t="shared" si="4"/>
      </c>
      <c r="N89" s="61">
        <f t="array" ref="N89">IF($B89="","",IF($J89="","Đang theo dõi",IF(OR(IFERROR(INDEX('05_Theo_Doi_Gio_Cong_7_Ngay'!$R:$R,MATCH($J89,'05_Theo_Doi_Gio_Cong_7_Ngay'!$B:$B,0)),"")="",IFERROR(INDEX('05_Theo_Doi_Gio_Cong_7_Ngay'!$R:$R,MATCH($J89,'05_Theo_Doi_Gio_Cong_7_Ngay'!$B:$B,0)),0)=0),"Đang theo dõi",IFERROR(INDEX('06_DS_Chinh_Thuc'!$K:$K,MATCH(IFERROR(INDEX('05_Theo_Doi_Gio_Cong_7_Ngay'!$R:$R,MATCH($J89,'05_Theo_Doi_Gio_Cong_7_Ngay'!$B:$B,0)),0),'06_DS_Chinh_Thuc'!$B:$B,0)),"Đang theo dõi"))))</f>
      </c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ht="14.25" customHeight="1" spans="1:26" x14ac:dyDescent="0.25">
      <c r="A90" s="66">
        <f t="shared" si="0"/>
      </c>
      <c r="B90" s="61"/>
      <c r="C90" s="66">
        <f t="array" ref="C90">IF(B90="","",IFERROR(INDEX('01_UngVien_PhongVan'!$D:$D,MATCH(B90,'01_UngVien_PhongVan'!$B:$B,0)),"Không tìm thấy mã ứng viên"))</f>
      </c>
      <c r="D90" s="67">
        <f t="array" ref="D90">IF(B90="","",IFERROR(INDEX('01_UngVien_PhongVan'!$AZ:$AZ,MATCH(B90,'01_UngVien_PhongVan'!$B:$B,0)),""))</f>
      </c>
      <c r="E90" s="68"/>
      <c r="F90" s="66">
        <f t="shared" si="1"/>
      </c>
      <c r="G90" s="67">
        <f t="shared" si="2"/>
      </c>
      <c r="H90" s="61"/>
      <c r="I90" s="61"/>
      <c r="J90" s="66">
        <f t="shared" si="3"/>
      </c>
      <c r="K90" s="61"/>
      <c r="L90" s="66">
        <f>IF(D90="","",IF(AND(MONTH(D90)='04_DS_Nhan_Viec_Trong_Thang'!$C$2,YEAR(D90)='04_DS_Nhan_Viec_Trong_Thang'!$E$2),SUMPRODUCT(($D$2:D90&lt;&gt;"")*(MONTH($D$2:D90)='04_DS_Nhan_Viec_Trong_Thang'!$C$2)*(YEAR($D$2:D90)='04_DS_Nhan_Viec_Trong_Thang'!$E$2)),""))</f>
      </c>
      <c r="M90" s="65">
        <f t="shared" si="4"/>
      </c>
      <c r="N90" s="61">
        <f t="array" ref="N90">IF($B90="","",IF($J90="","Đang theo dõi",IF(OR(IFERROR(INDEX('05_Theo_Doi_Gio_Cong_7_Ngay'!$R:$R,MATCH($J90,'05_Theo_Doi_Gio_Cong_7_Ngay'!$B:$B,0)),"")="",IFERROR(INDEX('05_Theo_Doi_Gio_Cong_7_Ngay'!$R:$R,MATCH($J90,'05_Theo_Doi_Gio_Cong_7_Ngay'!$B:$B,0)),0)=0),"Đang theo dõi",IFERROR(INDEX('06_DS_Chinh_Thuc'!$K:$K,MATCH(IFERROR(INDEX('05_Theo_Doi_Gio_Cong_7_Ngay'!$R:$R,MATCH($J90,'05_Theo_Doi_Gio_Cong_7_Ngay'!$B:$B,0)),0),'06_DS_Chinh_Thuc'!$B:$B,0)),"Đang theo dõi"))))</f>
      </c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ht="14.25" customHeight="1" spans="1:26" x14ac:dyDescent="0.25">
      <c r="A91" s="66">
        <f t="shared" si="0"/>
      </c>
      <c r="B91" s="61"/>
      <c r="C91" s="66">
        <f t="array" ref="C91">IF(B91="","",IFERROR(INDEX('01_UngVien_PhongVan'!$D:$D,MATCH(B91,'01_UngVien_PhongVan'!$B:$B,0)),"Không tìm thấy mã ứng viên"))</f>
      </c>
      <c r="D91" s="67">
        <f t="array" ref="D91">IF(B91="","",IFERROR(INDEX('01_UngVien_PhongVan'!$AZ:$AZ,MATCH(B91,'01_UngVien_PhongVan'!$B:$B,0)),""))</f>
      </c>
      <c r="E91" s="68"/>
      <c r="F91" s="66">
        <f t="shared" si="1"/>
      </c>
      <c r="G91" s="67">
        <f t="shared" si="2"/>
      </c>
      <c r="H91" s="61"/>
      <c r="I91" s="61"/>
      <c r="J91" s="66">
        <f t="shared" si="3"/>
      </c>
      <c r="K91" s="61"/>
      <c r="L91" s="66">
        <f>IF(D91="","",IF(AND(MONTH(D91)='04_DS_Nhan_Viec_Trong_Thang'!$C$2,YEAR(D91)='04_DS_Nhan_Viec_Trong_Thang'!$E$2),SUMPRODUCT(($D$2:D91&lt;&gt;"")*(MONTH($D$2:D91)='04_DS_Nhan_Viec_Trong_Thang'!$C$2)*(YEAR($D$2:D91)='04_DS_Nhan_Viec_Trong_Thang'!$E$2)),""))</f>
      </c>
      <c r="M91" s="65">
        <f t="shared" si="4"/>
      </c>
      <c r="N91" s="61">
        <f t="array" ref="N91">IF($B91="","",IF($J91="","Đang theo dõi",IF(OR(IFERROR(INDEX('05_Theo_Doi_Gio_Cong_7_Ngay'!$R:$R,MATCH($J91,'05_Theo_Doi_Gio_Cong_7_Ngay'!$B:$B,0)),"")="",IFERROR(INDEX('05_Theo_Doi_Gio_Cong_7_Ngay'!$R:$R,MATCH($J91,'05_Theo_Doi_Gio_Cong_7_Ngay'!$B:$B,0)),0)=0),"Đang theo dõi",IFERROR(INDEX('06_DS_Chinh_Thuc'!$K:$K,MATCH(IFERROR(INDEX('05_Theo_Doi_Gio_Cong_7_Ngay'!$R:$R,MATCH($J91,'05_Theo_Doi_Gio_Cong_7_Ngay'!$B:$B,0)),0),'06_DS_Chinh_Thuc'!$B:$B,0)),"Đang theo dõi"))))</f>
      </c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ht="14.25" customHeight="1" spans="1:26" x14ac:dyDescent="0.25">
      <c r="A92" s="66">
        <f t="shared" si="0"/>
      </c>
      <c r="B92" s="61"/>
      <c r="C92" s="66">
        <f t="array" ref="C92">IF(B92="","",IFERROR(INDEX('01_UngVien_PhongVan'!$D:$D,MATCH(B92,'01_UngVien_PhongVan'!$B:$B,0)),"Không tìm thấy mã ứng viên"))</f>
      </c>
      <c r="D92" s="67">
        <f t="array" ref="D92">IF(B92="","",IFERROR(INDEX('01_UngVien_PhongVan'!$AZ:$AZ,MATCH(B92,'01_UngVien_PhongVan'!$B:$B,0)),""))</f>
      </c>
      <c r="E92" s="68"/>
      <c r="F92" s="66">
        <f t="shared" si="1"/>
      </c>
      <c r="G92" s="67">
        <f t="shared" si="2"/>
      </c>
      <c r="H92" s="61"/>
      <c r="I92" s="61"/>
      <c r="J92" s="66">
        <f t="shared" si="3"/>
      </c>
      <c r="K92" s="61"/>
      <c r="L92" s="66">
        <f>IF(D92="","",IF(AND(MONTH(D92)='04_DS_Nhan_Viec_Trong_Thang'!$C$2,YEAR(D92)='04_DS_Nhan_Viec_Trong_Thang'!$E$2),SUMPRODUCT(($D$2:D92&lt;&gt;"")*(MONTH($D$2:D92)='04_DS_Nhan_Viec_Trong_Thang'!$C$2)*(YEAR($D$2:D92)='04_DS_Nhan_Viec_Trong_Thang'!$E$2)),""))</f>
      </c>
      <c r="M92" s="65">
        <f t="shared" si="4"/>
      </c>
      <c r="N92" s="61">
        <f t="array" ref="N92">IF($B92="","",IF($J92="","Đang theo dõi",IF(OR(IFERROR(INDEX('05_Theo_Doi_Gio_Cong_7_Ngay'!$R:$R,MATCH($J92,'05_Theo_Doi_Gio_Cong_7_Ngay'!$B:$B,0)),"")="",IFERROR(INDEX('05_Theo_Doi_Gio_Cong_7_Ngay'!$R:$R,MATCH($J92,'05_Theo_Doi_Gio_Cong_7_Ngay'!$B:$B,0)),0)=0),"Đang theo dõi",IFERROR(INDEX('06_DS_Chinh_Thuc'!$K:$K,MATCH(IFERROR(INDEX('05_Theo_Doi_Gio_Cong_7_Ngay'!$R:$R,MATCH($J92,'05_Theo_Doi_Gio_Cong_7_Ngay'!$B:$B,0)),0),'06_DS_Chinh_Thuc'!$B:$B,0)),"Đang theo dõi"))))</f>
      </c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ht="14.25" customHeight="1" spans="1:26" x14ac:dyDescent="0.25">
      <c r="A93" s="66">
        <f t="shared" si="0"/>
      </c>
      <c r="B93" s="61"/>
      <c r="C93" s="66">
        <f t="array" ref="C93">IF(B93="","",IFERROR(INDEX('01_UngVien_PhongVan'!$D:$D,MATCH(B93,'01_UngVien_PhongVan'!$B:$B,0)),"Không tìm thấy mã ứng viên"))</f>
      </c>
      <c r="D93" s="67">
        <f t="array" ref="D93">IF(B93="","",IFERROR(INDEX('01_UngVien_PhongVan'!$AZ:$AZ,MATCH(B93,'01_UngVien_PhongVan'!$B:$B,0)),""))</f>
      </c>
      <c r="E93" s="68"/>
      <c r="F93" s="66">
        <f t="shared" si="1"/>
      </c>
      <c r="G93" s="67">
        <f t="shared" si="2"/>
      </c>
      <c r="H93" s="61"/>
      <c r="I93" s="61"/>
      <c r="J93" s="66">
        <f t="shared" si="3"/>
      </c>
      <c r="K93" s="61"/>
      <c r="L93" s="66">
        <f>IF(D93="","",IF(AND(MONTH(D93)='04_DS_Nhan_Viec_Trong_Thang'!$C$2,YEAR(D93)='04_DS_Nhan_Viec_Trong_Thang'!$E$2),SUMPRODUCT(($D$2:D93&lt;&gt;"")*(MONTH($D$2:D93)='04_DS_Nhan_Viec_Trong_Thang'!$C$2)*(YEAR($D$2:D93)='04_DS_Nhan_Viec_Trong_Thang'!$E$2)),""))</f>
      </c>
      <c r="M93" s="65">
        <f t="shared" si="4"/>
      </c>
      <c r="N93" s="61">
        <f t="array" ref="N93">IF($B93="","",IF($J93="","Đang theo dõi",IF(OR(IFERROR(INDEX('05_Theo_Doi_Gio_Cong_7_Ngay'!$R:$R,MATCH($J93,'05_Theo_Doi_Gio_Cong_7_Ngay'!$B:$B,0)),"")="",IFERROR(INDEX('05_Theo_Doi_Gio_Cong_7_Ngay'!$R:$R,MATCH($J93,'05_Theo_Doi_Gio_Cong_7_Ngay'!$B:$B,0)),0)=0),"Đang theo dõi",IFERROR(INDEX('06_DS_Chinh_Thuc'!$K:$K,MATCH(IFERROR(INDEX('05_Theo_Doi_Gio_Cong_7_Ngay'!$R:$R,MATCH($J93,'05_Theo_Doi_Gio_Cong_7_Ngay'!$B:$B,0)),0),'06_DS_Chinh_Thuc'!$B:$B,0)),"Đang theo dõi"))))</f>
      </c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ht="14.25" customHeight="1" spans="1:26" x14ac:dyDescent="0.25">
      <c r="A94" s="66">
        <f t="shared" si="0"/>
      </c>
      <c r="B94" s="61"/>
      <c r="C94" s="66">
        <f t="array" ref="C94">IF(B94="","",IFERROR(INDEX('01_UngVien_PhongVan'!$D:$D,MATCH(B94,'01_UngVien_PhongVan'!$B:$B,0)),"Không tìm thấy mã ứng viên"))</f>
      </c>
      <c r="D94" s="67">
        <f t="array" ref="D94">IF(B94="","",IFERROR(INDEX('01_UngVien_PhongVan'!$AZ:$AZ,MATCH(B94,'01_UngVien_PhongVan'!$B:$B,0)),""))</f>
      </c>
      <c r="E94" s="68"/>
      <c r="F94" s="66">
        <f t="shared" si="1"/>
      </c>
      <c r="G94" s="67">
        <f t="shared" si="2"/>
      </c>
      <c r="H94" s="61"/>
      <c r="I94" s="61"/>
      <c r="J94" s="66">
        <f t="shared" si="3"/>
      </c>
      <c r="K94" s="61"/>
      <c r="L94" s="66">
        <f>IF(D94="","",IF(AND(MONTH(D94)='04_DS_Nhan_Viec_Trong_Thang'!$C$2,YEAR(D94)='04_DS_Nhan_Viec_Trong_Thang'!$E$2),SUMPRODUCT(($D$2:D94&lt;&gt;"")*(MONTH($D$2:D94)='04_DS_Nhan_Viec_Trong_Thang'!$C$2)*(YEAR($D$2:D94)='04_DS_Nhan_Viec_Trong_Thang'!$E$2)),""))</f>
      </c>
      <c r="M94" s="65">
        <f t="shared" si="4"/>
      </c>
      <c r="N94" s="61">
        <f t="array" ref="N94">IF($B94="","",IF($J94="","Đang theo dõi",IF(OR(IFERROR(INDEX('05_Theo_Doi_Gio_Cong_7_Ngay'!$R:$R,MATCH($J94,'05_Theo_Doi_Gio_Cong_7_Ngay'!$B:$B,0)),"")="",IFERROR(INDEX('05_Theo_Doi_Gio_Cong_7_Ngay'!$R:$R,MATCH($J94,'05_Theo_Doi_Gio_Cong_7_Ngay'!$B:$B,0)),0)=0),"Đang theo dõi",IFERROR(INDEX('06_DS_Chinh_Thuc'!$K:$K,MATCH(IFERROR(INDEX('05_Theo_Doi_Gio_Cong_7_Ngay'!$R:$R,MATCH($J94,'05_Theo_Doi_Gio_Cong_7_Ngay'!$B:$B,0)),0),'06_DS_Chinh_Thuc'!$B:$B,0)),"Đang theo dõi"))))</f>
      </c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ht="14.25" customHeight="1" spans="1:26" x14ac:dyDescent="0.25">
      <c r="A95" s="66">
        <f t="shared" si="0"/>
      </c>
      <c r="B95" s="61"/>
      <c r="C95" s="66">
        <f t="array" ref="C95">IF(B95="","",IFERROR(INDEX('01_UngVien_PhongVan'!$D:$D,MATCH(B95,'01_UngVien_PhongVan'!$B:$B,0)),"Không tìm thấy mã ứng viên"))</f>
      </c>
      <c r="D95" s="67">
        <f t="array" ref="D95">IF(B95="","",IFERROR(INDEX('01_UngVien_PhongVan'!$AZ:$AZ,MATCH(B95,'01_UngVien_PhongVan'!$B:$B,0)),""))</f>
      </c>
      <c r="E95" s="68"/>
      <c r="F95" s="66">
        <f t="shared" si="1"/>
      </c>
      <c r="G95" s="67">
        <f t="shared" si="2"/>
      </c>
      <c r="H95" s="61"/>
      <c r="I95" s="61"/>
      <c r="J95" s="66">
        <f t="shared" si="3"/>
      </c>
      <c r="K95" s="61"/>
      <c r="L95" s="66">
        <f>IF(D95="","",IF(AND(MONTH(D95)='04_DS_Nhan_Viec_Trong_Thang'!$C$2,YEAR(D95)='04_DS_Nhan_Viec_Trong_Thang'!$E$2),SUMPRODUCT(($D$2:D95&lt;&gt;"")*(MONTH($D$2:D95)='04_DS_Nhan_Viec_Trong_Thang'!$C$2)*(YEAR($D$2:D95)='04_DS_Nhan_Viec_Trong_Thang'!$E$2)),""))</f>
      </c>
      <c r="M95" s="65">
        <f t="shared" si="4"/>
      </c>
      <c r="N95" s="61">
        <f t="array" ref="N95">IF($B95="","",IF($J95="","Đang theo dõi",IF(OR(IFERROR(INDEX('05_Theo_Doi_Gio_Cong_7_Ngay'!$R:$R,MATCH($J95,'05_Theo_Doi_Gio_Cong_7_Ngay'!$B:$B,0)),"")="",IFERROR(INDEX('05_Theo_Doi_Gio_Cong_7_Ngay'!$R:$R,MATCH($J95,'05_Theo_Doi_Gio_Cong_7_Ngay'!$B:$B,0)),0)=0),"Đang theo dõi",IFERROR(INDEX('06_DS_Chinh_Thuc'!$K:$K,MATCH(IFERROR(INDEX('05_Theo_Doi_Gio_Cong_7_Ngay'!$R:$R,MATCH($J95,'05_Theo_Doi_Gio_Cong_7_Ngay'!$B:$B,0)),0),'06_DS_Chinh_Thuc'!$B:$B,0)),"Đang theo dõi"))))</f>
      </c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ht="14.25" customHeight="1" spans="1:26" x14ac:dyDescent="0.25">
      <c r="A96" s="66">
        <f t="shared" si="0"/>
      </c>
      <c r="B96" s="61"/>
      <c r="C96" s="66">
        <f t="array" ref="C96">IF(B96="","",IFERROR(INDEX('01_UngVien_PhongVan'!$D:$D,MATCH(B96,'01_UngVien_PhongVan'!$B:$B,0)),"Không tìm thấy mã ứng viên"))</f>
      </c>
      <c r="D96" s="67">
        <f t="array" ref="D96">IF(B96="","",IFERROR(INDEX('01_UngVien_PhongVan'!$AZ:$AZ,MATCH(B96,'01_UngVien_PhongVan'!$B:$B,0)),""))</f>
      </c>
      <c r="E96" s="68"/>
      <c r="F96" s="66">
        <f t="shared" si="1"/>
      </c>
      <c r="G96" s="67">
        <f t="shared" si="2"/>
      </c>
      <c r="H96" s="61"/>
      <c r="I96" s="61"/>
      <c r="J96" s="66">
        <f t="shared" si="3"/>
      </c>
      <c r="K96" s="61"/>
      <c r="L96" s="66">
        <f>IF(D96="","",IF(AND(MONTH(D96)='04_DS_Nhan_Viec_Trong_Thang'!$C$2,YEAR(D96)='04_DS_Nhan_Viec_Trong_Thang'!$E$2),SUMPRODUCT(($D$2:D96&lt;&gt;"")*(MONTH($D$2:D96)='04_DS_Nhan_Viec_Trong_Thang'!$C$2)*(YEAR($D$2:D96)='04_DS_Nhan_Viec_Trong_Thang'!$E$2)),""))</f>
      </c>
      <c r="M96" s="65">
        <f t="shared" si="4"/>
      </c>
      <c r="N96" s="61">
        <f t="array" ref="N96">IF($B96="","",IF($J96="","Đang theo dõi",IF(OR(IFERROR(INDEX('05_Theo_Doi_Gio_Cong_7_Ngay'!$R:$R,MATCH($J96,'05_Theo_Doi_Gio_Cong_7_Ngay'!$B:$B,0)),"")="",IFERROR(INDEX('05_Theo_Doi_Gio_Cong_7_Ngay'!$R:$R,MATCH($J96,'05_Theo_Doi_Gio_Cong_7_Ngay'!$B:$B,0)),0)=0),"Đang theo dõi",IFERROR(INDEX('06_DS_Chinh_Thuc'!$K:$K,MATCH(IFERROR(INDEX('05_Theo_Doi_Gio_Cong_7_Ngay'!$R:$R,MATCH($J96,'05_Theo_Doi_Gio_Cong_7_Ngay'!$B:$B,0)),0),'06_DS_Chinh_Thuc'!$B:$B,0)),"Đang theo dõi"))))</f>
      </c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ht="14.25" customHeight="1" spans="1:26" x14ac:dyDescent="0.25">
      <c r="A97" s="66">
        <f t="shared" si="0"/>
      </c>
      <c r="B97" s="61"/>
      <c r="C97" s="66">
        <f t="array" ref="C97">IF(B97="","",IFERROR(INDEX('01_UngVien_PhongVan'!$D:$D,MATCH(B97,'01_UngVien_PhongVan'!$B:$B,0)),"Không tìm thấy mã ứng viên"))</f>
      </c>
      <c r="D97" s="67">
        <f t="array" ref="D97">IF(B97="","",IFERROR(INDEX('01_UngVien_PhongVan'!$AZ:$AZ,MATCH(B97,'01_UngVien_PhongVan'!$B:$B,0)),""))</f>
      </c>
      <c r="E97" s="68"/>
      <c r="F97" s="66">
        <f t="shared" si="1"/>
      </c>
      <c r="G97" s="67">
        <f t="shared" si="2"/>
      </c>
      <c r="H97" s="61"/>
      <c r="I97" s="61"/>
      <c r="J97" s="66">
        <f t="shared" si="3"/>
      </c>
      <c r="K97" s="61"/>
      <c r="L97" s="66">
        <f>IF(D97="","",IF(AND(MONTH(D97)='04_DS_Nhan_Viec_Trong_Thang'!$C$2,YEAR(D97)='04_DS_Nhan_Viec_Trong_Thang'!$E$2),SUMPRODUCT(($D$2:D97&lt;&gt;"")*(MONTH($D$2:D97)='04_DS_Nhan_Viec_Trong_Thang'!$C$2)*(YEAR($D$2:D97)='04_DS_Nhan_Viec_Trong_Thang'!$E$2)),""))</f>
      </c>
      <c r="M97" s="65">
        <f t="shared" si="4"/>
      </c>
      <c r="N97" s="61">
        <f t="array" ref="N97">IF($B97="","",IF($J97="","Đang theo dõi",IF(OR(IFERROR(INDEX('05_Theo_Doi_Gio_Cong_7_Ngay'!$R:$R,MATCH($J97,'05_Theo_Doi_Gio_Cong_7_Ngay'!$B:$B,0)),"")="",IFERROR(INDEX('05_Theo_Doi_Gio_Cong_7_Ngay'!$R:$R,MATCH($J97,'05_Theo_Doi_Gio_Cong_7_Ngay'!$B:$B,0)),0)=0),"Đang theo dõi",IFERROR(INDEX('06_DS_Chinh_Thuc'!$K:$K,MATCH(IFERROR(INDEX('05_Theo_Doi_Gio_Cong_7_Ngay'!$R:$R,MATCH($J97,'05_Theo_Doi_Gio_Cong_7_Ngay'!$B:$B,0)),0),'06_DS_Chinh_Thuc'!$B:$B,0)),"Đang theo dõi"))))</f>
      </c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ht="14.25" customHeight="1" spans="1:26" x14ac:dyDescent="0.25">
      <c r="A98" s="66">
        <f t="shared" si="0"/>
      </c>
      <c r="B98" s="61"/>
      <c r="C98" s="66">
        <f t="array" ref="C98">IF(B98="","",IFERROR(INDEX('01_UngVien_PhongVan'!$D:$D,MATCH(B98,'01_UngVien_PhongVan'!$B:$B,0)),"Không tìm thấy mã ứng viên"))</f>
      </c>
      <c r="D98" s="67">
        <f t="array" ref="D98">IF(B98="","",IFERROR(INDEX('01_UngVien_PhongVan'!$AZ:$AZ,MATCH(B98,'01_UngVien_PhongVan'!$B:$B,0)),""))</f>
      </c>
      <c r="E98" s="68"/>
      <c r="F98" s="66">
        <f t="shared" si="1"/>
      </c>
      <c r="G98" s="67">
        <f t="shared" si="2"/>
      </c>
      <c r="H98" s="61"/>
      <c r="I98" s="61"/>
      <c r="J98" s="66">
        <f t="shared" si="3"/>
      </c>
      <c r="K98" s="61"/>
      <c r="L98" s="66">
        <f>IF(D98="","",IF(AND(MONTH(D98)='04_DS_Nhan_Viec_Trong_Thang'!$C$2,YEAR(D98)='04_DS_Nhan_Viec_Trong_Thang'!$E$2),SUMPRODUCT(($D$2:D98&lt;&gt;"")*(MONTH($D$2:D98)='04_DS_Nhan_Viec_Trong_Thang'!$C$2)*(YEAR($D$2:D98)='04_DS_Nhan_Viec_Trong_Thang'!$E$2)),""))</f>
      </c>
      <c r="M98" s="65">
        <f t="shared" si="4"/>
      </c>
      <c r="N98" s="61">
        <f t="array" ref="N98">IF($B98="","",IF($J98="","Đang theo dõi",IF(OR(IFERROR(INDEX('05_Theo_Doi_Gio_Cong_7_Ngay'!$R:$R,MATCH($J98,'05_Theo_Doi_Gio_Cong_7_Ngay'!$B:$B,0)),"")="",IFERROR(INDEX('05_Theo_Doi_Gio_Cong_7_Ngay'!$R:$R,MATCH($J98,'05_Theo_Doi_Gio_Cong_7_Ngay'!$B:$B,0)),0)=0),"Đang theo dõi",IFERROR(INDEX('06_DS_Chinh_Thuc'!$K:$K,MATCH(IFERROR(INDEX('05_Theo_Doi_Gio_Cong_7_Ngay'!$R:$R,MATCH($J98,'05_Theo_Doi_Gio_Cong_7_Ngay'!$B:$B,0)),0),'06_DS_Chinh_Thuc'!$B:$B,0)),"Đang theo dõi"))))</f>
      </c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ht="14.25" customHeight="1" spans="1:26" x14ac:dyDescent="0.25">
      <c r="A99" s="66">
        <f t="shared" si="0"/>
      </c>
      <c r="B99" s="61"/>
      <c r="C99" s="66">
        <f t="array" ref="C99">IF(B99="","",IFERROR(INDEX('01_UngVien_PhongVan'!$D:$D,MATCH(B99,'01_UngVien_PhongVan'!$B:$B,0)),"Không tìm thấy mã ứng viên"))</f>
      </c>
      <c r="D99" s="67">
        <f t="array" ref="D99">IF(B99="","",IFERROR(INDEX('01_UngVien_PhongVan'!$AZ:$AZ,MATCH(B99,'01_UngVien_PhongVan'!$B:$B,0)),""))</f>
      </c>
      <c r="E99" s="68"/>
      <c r="F99" s="66">
        <f t="shared" si="1"/>
      </c>
      <c r="G99" s="67">
        <f t="shared" si="2"/>
      </c>
      <c r="H99" s="61"/>
      <c r="I99" s="61"/>
      <c r="J99" s="66">
        <f t="shared" si="3"/>
      </c>
      <c r="K99" s="61"/>
      <c r="L99" s="66">
        <f>IF(D99="","",IF(AND(MONTH(D99)='04_DS_Nhan_Viec_Trong_Thang'!$C$2,YEAR(D99)='04_DS_Nhan_Viec_Trong_Thang'!$E$2),SUMPRODUCT(($D$2:D99&lt;&gt;"")*(MONTH($D$2:D99)='04_DS_Nhan_Viec_Trong_Thang'!$C$2)*(YEAR($D$2:D99)='04_DS_Nhan_Viec_Trong_Thang'!$E$2)),""))</f>
      </c>
      <c r="M99" s="65">
        <f t="shared" si="4"/>
      </c>
      <c r="N99" s="61">
        <f t="array" ref="N99">IF($B99="","",IF($J99="","Đang theo dõi",IF(OR(IFERROR(INDEX('05_Theo_Doi_Gio_Cong_7_Ngay'!$R:$R,MATCH($J99,'05_Theo_Doi_Gio_Cong_7_Ngay'!$B:$B,0)),"")="",IFERROR(INDEX('05_Theo_Doi_Gio_Cong_7_Ngay'!$R:$R,MATCH($J99,'05_Theo_Doi_Gio_Cong_7_Ngay'!$B:$B,0)),0)=0),"Đang theo dõi",IFERROR(INDEX('06_DS_Chinh_Thuc'!$K:$K,MATCH(IFERROR(INDEX('05_Theo_Doi_Gio_Cong_7_Ngay'!$R:$R,MATCH($J99,'05_Theo_Doi_Gio_Cong_7_Ngay'!$B:$B,0)),0),'06_DS_Chinh_Thuc'!$B:$B,0)),"Đang theo dõi"))))</f>
      </c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ht="14.25" customHeight="1" spans="1:26" x14ac:dyDescent="0.25">
      <c r="A100" s="66">
        <f t="shared" si="0"/>
      </c>
      <c r="B100" s="61"/>
      <c r="C100" s="66">
        <f t="array" ref="C100">IF(B100="","",IFERROR(INDEX('01_UngVien_PhongVan'!$D:$D,MATCH(B100,'01_UngVien_PhongVan'!$B:$B,0)),"Không tìm thấy mã ứng viên"))</f>
      </c>
      <c r="D100" s="67">
        <f t="array" ref="D100">IF(B100="","",IFERROR(INDEX('01_UngVien_PhongVan'!$AZ:$AZ,MATCH(B100,'01_UngVien_PhongVan'!$B:$B,0)),""))</f>
      </c>
      <c r="E100" s="68"/>
      <c r="F100" s="66">
        <f t="shared" si="1"/>
      </c>
      <c r="G100" s="67">
        <f t="shared" si="2"/>
      </c>
      <c r="H100" s="61"/>
      <c r="I100" s="61"/>
      <c r="J100" s="66">
        <f t="shared" si="3"/>
      </c>
      <c r="K100" s="61"/>
      <c r="L100" s="66">
        <f>IF(D100="","",IF(AND(MONTH(D100)='04_DS_Nhan_Viec_Trong_Thang'!$C$2,YEAR(D100)='04_DS_Nhan_Viec_Trong_Thang'!$E$2),SUMPRODUCT(($D$2:D100&lt;&gt;"")*(MONTH($D$2:D100)='04_DS_Nhan_Viec_Trong_Thang'!$C$2)*(YEAR($D$2:D100)='04_DS_Nhan_Viec_Trong_Thang'!$E$2)),""))</f>
      </c>
      <c r="M100" s="65">
        <f t="shared" si="4"/>
      </c>
      <c r="N100" s="61">
        <f t="array" ref="N100">IF($B100="","",IF($J100="","Đang theo dõi",IF(OR(IFERROR(INDEX('05_Theo_Doi_Gio_Cong_7_Ngay'!$R:$R,MATCH($J100,'05_Theo_Doi_Gio_Cong_7_Ngay'!$B:$B,0)),"")="",IFERROR(INDEX('05_Theo_Doi_Gio_Cong_7_Ngay'!$R:$R,MATCH($J100,'05_Theo_Doi_Gio_Cong_7_Ngay'!$B:$B,0)),0)=0),"Đang theo dõi",IFERROR(INDEX('06_DS_Chinh_Thuc'!$K:$K,MATCH(IFERROR(INDEX('05_Theo_Doi_Gio_Cong_7_Ngay'!$R:$R,MATCH($J100,'05_Theo_Doi_Gio_Cong_7_Ngay'!$B:$B,0)),0),'06_DS_Chinh_Thuc'!$B:$B,0)),"Đang theo dõi"))))</f>
      </c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ht="14.25" customHeight="1" spans="1:26" x14ac:dyDescent="0.25">
      <c r="A101" s="66">
        <f t="shared" si="0"/>
      </c>
      <c r="B101" s="61"/>
      <c r="C101" s="66">
        <f t="array" ref="C101">IF(B101="","",IFERROR(INDEX('01_UngVien_PhongVan'!$D:$D,MATCH(B101,'01_UngVien_PhongVan'!$B:$B,0)),"Không tìm thấy mã ứng viên"))</f>
      </c>
      <c r="D101" s="67">
        <f t="array" ref="D101">IF(B101="","",IFERROR(INDEX('01_UngVien_PhongVan'!$AZ:$AZ,MATCH(B101,'01_UngVien_PhongVan'!$B:$B,0)),""))</f>
      </c>
      <c r="E101" s="68"/>
      <c r="F101" s="66">
        <f t="shared" si="1"/>
      </c>
      <c r="G101" s="67">
        <f t="shared" si="2"/>
      </c>
      <c r="H101" s="61"/>
      <c r="I101" s="61"/>
      <c r="J101" s="66">
        <f t="shared" si="3"/>
      </c>
      <c r="K101" s="61"/>
      <c r="L101" s="66">
        <f>IF(D101="","",IF(AND(MONTH(D101)='04_DS_Nhan_Viec_Trong_Thang'!$C$2,YEAR(D101)='04_DS_Nhan_Viec_Trong_Thang'!$E$2),SUMPRODUCT(($D$2:D101&lt;&gt;"")*(MONTH($D$2:D101)='04_DS_Nhan_Viec_Trong_Thang'!$C$2)*(YEAR($D$2:D101)='04_DS_Nhan_Viec_Trong_Thang'!$E$2)),""))</f>
      </c>
      <c r="M101" s="65">
        <f t="shared" si="4"/>
      </c>
      <c r="N101" s="61">
        <f t="array" ref="N101">IF($B101="","",IF($J101="","Đang theo dõi",IF(OR(IFERROR(INDEX('05_Theo_Doi_Gio_Cong_7_Ngay'!$R:$R,MATCH($J101,'05_Theo_Doi_Gio_Cong_7_Ngay'!$B:$B,0)),"")="",IFERROR(INDEX('05_Theo_Doi_Gio_Cong_7_Ngay'!$R:$R,MATCH($J101,'05_Theo_Doi_Gio_Cong_7_Ngay'!$B:$B,0)),0)=0),"Đang theo dõi",IFERROR(INDEX('06_DS_Chinh_Thuc'!$K:$K,MATCH(IFERROR(INDEX('05_Theo_Doi_Gio_Cong_7_Ngay'!$R:$R,MATCH($J101,'05_Theo_Doi_Gio_Cong_7_Ngay'!$B:$B,0)),0),'06_DS_Chinh_Thuc'!$B:$B,0)),"Đang theo dõi"))))</f>
      </c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ht="14.25" customHeight="1" spans="1:26" x14ac:dyDescent="0.25">
      <c r="A102" s="66">
        <f t="shared" si="0"/>
      </c>
      <c r="B102" s="61"/>
      <c r="C102" s="66">
        <f t="array" ref="C102">IF(B102="","",IFERROR(INDEX('01_UngVien_PhongVan'!$D:$D,MATCH(B102,'01_UngVien_PhongVan'!$B:$B,0)),"Không tìm thấy mã ứng viên"))</f>
      </c>
      <c r="D102" s="67">
        <f t="array" ref="D102">IF(B102="","",IFERROR(INDEX('01_UngVien_PhongVan'!$AZ:$AZ,MATCH(B102,'01_UngVien_PhongVan'!$B:$B,0)),""))</f>
      </c>
      <c r="E102" s="68"/>
      <c r="F102" s="66">
        <f t="shared" si="1"/>
      </c>
      <c r="G102" s="67">
        <f t="shared" si="2"/>
      </c>
      <c r="H102" s="61"/>
      <c r="I102" s="61"/>
      <c r="J102" s="66">
        <f t="shared" si="3"/>
      </c>
      <c r="K102" s="61"/>
      <c r="L102" s="66">
        <f>IF(D102="","",IF(AND(MONTH(D102)='04_DS_Nhan_Viec_Trong_Thang'!$C$2,YEAR(D102)='04_DS_Nhan_Viec_Trong_Thang'!$E$2),SUMPRODUCT(($D$2:D102&lt;&gt;"")*(MONTH($D$2:D102)='04_DS_Nhan_Viec_Trong_Thang'!$C$2)*(YEAR($D$2:D102)='04_DS_Nhan_Viec_Trong_Thang'!$E$2)),""))</f>
      </c>
      <c r="M102" s="65">
        <f t="shared" si="4"/>
      </c>
      <c r="N102" s="61">
        <f t="array" ref="N102">IF($B102="","",IF($J102="","Đang theo dõi",IF(OR(IFERROR(INDEX('05_Theo_Doi_Gio_Cong_7_Ngay'!$R:$R,MATCH($J102,'05_Theo_Doi_Gio_Cong_7_Ngay'!$B:$B,0)),"")="",IFERROR(INDEX('05_Theo_Doi_Gio_Cong_7_Ngay'!$R:$R,MATCH($J102,'05_Theo_Doi_Gio_Cong_7_Ngay'!$B:$B,0)),0)=0),"Đang theo dõi",IFERROR(INDEX('06_DS_Chinh_Thuc'!$K:$K,MATCH(IFERROR(INDEX('05_Theo_Doi_Gio_Cong_7_Ngay'!$R:$R,MATCH($J102,'05_Theo_Doi_Gio_Cong_7_Ngay'!$B:$B,0)),0),'06_DS_Chinh_Thuc'!$B:$B,0)),"Đang theo dõi"))))</f>
      </c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ht="14.25" customHeight="1" spans="1:26" x14ac:dyDescent="0.25">
      <c r="A103" s="66">
        <f t="shared" si="0"/>
      </c>
      <c r="B103" s="61"/>
      <c r="C103" s="66">
        <f t="array" ref="C103">IF(B103="","",IFERROR(INDEX('01_UngVien_PhongVan'!$D:$D,MATCH(B103,'01_UngVien_PhongVan'!$B:$B,0)),"Không tìm thấy mã ứng viên"))</f>
      </c>
      <c r="D103" s="67">
        <f t="array" ref="D103">IF(B103="","",IFERROR(INDEX('01_UngVien_PhongVan'!$AZ:$AZ,MATCH(B103,'01_UngVien_PhongVan'!$B:$B,0)),""))</f>
      </c>
      <c r="E103" s="68"/>
      <c r="F103" s="66">
        <f t="shared" si="1"/>
      </c>
      <c r="G103" s="67">
        <f t="shared" si="2"/>
      </c>
      <c r="H103" s="61"/>
      <c r="I103" s="61"/>
      <c r="J103" s="66">
        <f t="shared" si="3"/>
      </c>
      <c r="K103" s="61"/>
      <c r="L103" s="66">
        <f>IF(D103="","",IF(AND(MONTH(D103)='04_DS_Nhan_Viec_Trong_Thang'!$C$2,YEAR(D103)='04_DS_Nhan_Viec_Trong_Thang'!$E$2),SUMPRODUCT(($D$2:D103&lt;&gt;"")*(MONTH($D$2:D103)='04_DS_Nhan_Viec_Trong_Thang'!$C$2)*(YEAR($D$2:D103)='04_DS_Nhan_Viec_Trong_Thang'!$E$2)),""))</f>
      </c>
      <c r="M103" s="65">
        <f t="shared" si="4"/>
      </c>
      <c r="N103" s="61">
        <f t="array" ref="N103">IF($B103="","",IF($J103="","Đang theo dõi",IF(OR(IFERROR(INDEX('05_Theo_Doi_Gio_Cong_7_Ngay'!$R:$R,MATCH($J103,'05_Theo_Doi_Gio_Cong_7_Ngay'!$B:$B,0)),"")="",IFERROR(INDEX('05_Theo_Doi_Gio_Cong_7_Ngay'!$R:$R,MATCH($J103,'05_Theo_Doi_Gio_Cong_7_Ngay'!$B:$B,0)),0)=0),"Đang theo dõi",IFERROR(INDEX('06_DS_Chinh_Thuc'!$K:$K,MATCH(IFERROR(INDEX('05_Theo_Doi_Gio_Cong_7_Ngay'!$R:$R,MATCH($J103,'05_Theo_Doi_Gio_Cong_7_Ngay'!$B:$B,0)),0),'06_DS_Chinh_Thuc'!$B:$B,0)),"Đang theo dõi"))))</f>
      </c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ht="14.25" customHeight="1" spans="1:26" x14ac:dyDescent="0.25">
      <c r="A104" s="66">
        <f t="shared" si="0"/>
      </c>
      <c r="B104" s="61"/>
      <c r="C104" s="66">
        <f t="array" ref="C104">IF(B104="","",IFERROR(INDEX('01_UngVien_PhongVan'!$D:$D,MATCH(B104,'01_UngVien_PhongVan'!$B:$B,0)),"Không tìm thấy mã ứng viên"))</f>
      </c>
      <c r="D104" s="67">
        <f t="array" ref="D104">IF(B104="","",IFERROR(INDEX('01_UngVien_PhongVan'!$AZ:$AZ,MATCH(B104,'01_UngVien_PhongVan'!$B:$B,0)),""))</f>
      </c>
      <c r="E104" s="68"/>
      <c r="F104" s="66">
        <f t="shared" si="1"/>
      </c>
      <c r="G104" s="67">
        <f t="shared" si="2"/>
      </c>
      <c r="H104" s="61"/>
      <c r="I104" s="61"/>
      <c r="J104" s="66">
        <f t="shared" si="3"/>
      </c>
      <c r="K104" s="61"/>
      <c r="L104" s="66">
        <f>IF(D104="","",IF(AND(MONTH(D104)='04_DS_Nhan_Viec_Trong_Thang'!$C$2,YEAR(D104)='04_DS_Nhan_Viec_Trong_Thang'!$E$2),SUMPRODUCT(($D$2:D104&lt;&gt;"")*(MONTH($D$2:D104)='04_DS_Nhan_Viec_Trong_Thang'!$C$2)*(YEAR($D$2:D104)='04_DS_Nhan_Viec_Trong_Thang'!$E$2)),""))</f>
      </c>
      <c r="M104" s="65">
        <f t="shared" si="4"/>
      </c>
      <c r="N104" s="61">
        <f t="array" ref="N104">IF($B104="","",IF($J104="","Đang theo dõi",IF(OR(IFERROR(INDEX('05_Theo_Doi_Gio_Cong_7_Ngay'!$R:$R,MATCH($J104,'05_Theo_Doi_Gio_Cong_7_Ngay'!$B:$B,0)),"")="",IFERROR(INDEX('05_Theo_Doi_Gio_Cong_7_Ngay'!$R:$R,MATCH($J104,'05_Theo_Doi_Gio_Cong_7_Ngay'!$B:$B,0)),0)=0),"Đang theo dõi",IFERROR(INDEX('06_DS_Chinh_Thuc'!$K:$K,MATCH(IFERROR(INDEX('05_Theo_Doi_Gio_Cong_7_Ngay'!$R:$R,MATCH($J104,'05_Theo_Doi_Gio_Cong_7_Ngay'!$B:$B,0)),0),'06_DS_Chinh_Thuc'!$B:$B,0)),"Đang theo dõi"))))</f>
      </c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ht="14.25" customHeight="1" spans="1:26" x14ac:dyDescent="0.25">
      <c r="A105" s="66">
        <f t="shared" si="0"/>
      </c>
      <c r="B105" s="61"/>
      <c r="C105" s="66">
        <f t="array" ref="C105">IF(B105="","",IFERROR(INDEX('01_UngVien_PhongVan'!$D:$D,MATCH(B105,'01_UngVien_PhongVan'!$B:$B,0)),"Không tìm thấy mã ứng viên"))</f>
      </c>
      <c r="D105" s="67">
        <f t="array" ref="D105">IF(B105="","",IFERROR(INDEX('01_UngVien_PhongVan'!$AZ:$AZ,MATCH(B105,'01_UngVien_PhongVan'!$B:$B,0)),""))</f>
      </c>
      <c r="E105" s="68"/>
      <c r="F105" s="66">
        <f t="shared" si="1"/>
      </c>
      <c r="G105" s="67">
        <f t="shared" si="2"/>
      </c>
      <c r="H105" s="61"/>
      <c r="I105" s="61"/>
      <c r="J105" s="66">
        <f t="shared" si="3"/>
      </c>
      <c r="K105" s="61"/>
      <c r="L105" s="66">
        <f>IF(D105="","",IF(AND(MONTH(D105)='04_DS_Nhan_Viec_Trong_Thang'!$C$2,YEAR(D105)='04_DS_Nhan_Viec_Trong_Thang'!$E$2),SUMPRODUCT(($D$2:D105&lt;&gt;"")*(MONTH($D$2:D105)='04_DS_Nhan_Viec_Trong_Thang'!$C$2)*(YEAR($D$2:D105)='04_DS_Nhan_Viec_Trong_Thang'!$E$2)),""))</f>
      </c>
      <c r="M105" s="65">
        <f t="shared" si="4"/>
      </c>
      <c r="N105" s="61">
        <f t="array" ref="N105">IF($B105="","",IF($J105="","Đang theo dõi",IF(OR(IFERROR(INDEX('05_Theo_Doi_Gio_Cong_7_Ngay'!$R:$R,MATCH($J105,'05_Theo_Doi_Gio_Cong_7_Ngay'!$B:$B,0)),"")="",IFERROR(INDEX('05_Theo_Doi_Gio_Cong_7_Ngay'!$R:$R,MATCH($J105,'05_Theo_Doi_Gio_Cong_7_Ngay'!$B:$B,0)),0)=0),"Đang theo dõi",IFERROR(INDEX('06_DS_Chinh_Thuc'!$K:$K,MATCH(IFERROR(INDEX('05_Theo_Doi_Gio_Cong_7_Ngay'!$R:$R,MATCH($J105,'05_Theo_Doi_Gio_Cong_7_Ngay'!$B:$B,0)),0),'06_DS_Chinh_Thuc'!$B:$B,0)),"Đang theo dõi"))))</f>
      </c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ht="14.25" customHeight="1" spans="1:26" x14ac:dyDescent="0.25">
      <c r="A106" s="66">
        <f t="shared" si="0"/>
      </c>
      <c r="B106" s="61"/>
      <c r="C106" s="66">
        <f t="array" ref="C106">IF(B106="","",IFERROR(INDEX('01_UngVien_PhongVan'!$D:$D,MATCH(B106,'01_UngVien_PhongVan'!$B:$B,0)),"Không tìm thấy mã ứng viên"))</f>
      </c>
      <c r="D106" s="67">
        <f t="array" ref="D106">IF(B106="","",IFERROR(INDEX('01_UngVien_PhongVan'!$AZ:$AZ,MATCH(B106,'01_UngVien_PhongVan'!$B:$B,0)),""))</f>
      </c>
      <c r="E106" s="68"/>
      <c r="F106" s="66">
        <f t="shared" si="1"/>
      </c>
      <c r="G106" s="67">
        <f t="shared" si="2"/>
      </c>
      <c r="H106" s="61"/>
      <c r="I106" s="61"/>
      <c r="J106" s="66">
        <f t="shared" si="3"/>
      </c>
      <c r="K106" s="61"/>
      <c r="L106" s="66">
        <f>IF(D106="","",IF(AND(MONTH(D106)='04_DS_Nhan_Viec_Trong_Thang'!$C$2,YEAR(D106)='04_DS_Nhan_Viec_Trong_Thang'!$E$2),SUMPRODUCT(($D$2:D106&lt;&gt;"")*(MONTH($D$2:D106)='04_DS_Nhan_Viec_Trong_Thang'!$C$2)*(YEAR($D$2:D106)='04_DS_Nhan_Viec_Trong_Thang'!$E$2)),""))</f>
      </c>
      <c r="M106" s="65">
        <f t="shared" si="4"/>
      </c>
      <c r="N106" s="61">
        <f t="array" ref="N106">IF($B106="","",IF($J106="","Đang theo dõi",IF(OR(IFERROR(INDEX('05_Theo_Doi_Gio_Cong_7_Ngay'!$R:$R,MATCH($J106,'05_Theo_Doi_Gio_Cong_7_Ngay'!$B:$B,0)),"")="",IFERROR(INDEX('05_Theo_Doi_Gio_Cong_7_Ngay'!$R:$R,MATCH($J106,'05_Theo_Doi_Gio_Cong_7_Ngay'!$B:$B,0)),0)=0),"Đang theo dõi",IFERROR(INDEX('06_DS_Chinh_Thuc'!$K:$K,MATCH(IFERROR(INDEX('05_Theo_Doi_Gio_Cong_7_Ngay'!$R:$R,MATCH($J106,'05_Theo_Doi_Gio_Cong_7_Ngay'!$B:$B,0)),0),'06_DS_Chinh_Thuc'!$B:$B,0)),"Đang theo dõi"))))</f>
      </c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ht="14.25" customHeight="1" spans="1:26" x14ac:dyDescent="0.25">
      <c r="A107" s="66">
        <f t="shared" si="0"/>
      </c>
      <c r="B107" s="61"/>
      <c r="C107" s="66">
        <f t="array" ref="C107">IF(B107="","",IFERROR(INDEX('01_UngVien_PhongVan'!$D:$D,MATCH(B107,'01_UngVien_PhongVan'!$B:$B,0)),"Không tìm thấy mã ứng viên"))</f>
      </c>
      <c r="D107" s="67">
        <f t="array" ref="D107">IF(B107="","",IFERROR(INDEX('01_UngVien_PhongVan'!$AZ:$AZ,MATCH(B107,'01_UngVien_PhongVan'!$B:$B,0)),""))</f>
      </c>
      <c r="E107" s="68"/>
      <c r="F107" s="66">
        <f t="shared" si="1"/>
      </c>
      <c r="G107" s="67">
        <f t="shared" si="2"/>
      </c>
      <c r="H107" s="61"/>
      <c r="I107" s="61"/>
      <c r="J107" s="66">
        <f t="shared" si="3"/>
      </c>
      <c r="K107" s="61"/>
      <c r="L107" s="66">
        <f>IF(D107="","",IF(AND(MONTH(D107)='04_DS_Nhan_Viec_Trong_Thang'!$C$2,YEAR(D107)='04_DS_Nhan_Viec_Trong_Thang'!$E$2),SUMPRODUCT(($D$2:D107&lt;&gt;"")*(MONTH($D$2:D107)='04_DS_Nhan_Viec_Trong_Thang'!$C$2)*(YEAR($D$2:D107)='04_DS_Nhan_Viec_Trong_Thang'!$E$2)),""))</f>
      </c>
      <c r="M107" s="65">
        <f t="shared" si="4"/>
      </c>
      <c r="N107" s="61">
        <f t="array" ref="N107">IF($B107="","",IF($J107="","Đang theo dõi",IF(OR(IFERROR(INDEX('05_Theo_Doi_Gio_Cong_7_Ngay'!$R:$R,MATCH($J107,'05_Theo_Doi_Gio_Cong_7_Ngay'!$B:$B,0)),"")="",IFERROR(INDEX('05_Theo_Doi_Gio_Cong_7_Ngay'!$R:$R,MATCH($J107,'05_Theo_Doi_Gio_Cong_7_Ngay'!$B:$B,0)),0)=0),"Đang theo dõi",IFERROR(INDEX('06_DS_Chinh_Thuc'!$K:$K,MATCH(IFERROR(INDEX('05_Theo_Doi_Gio_Cong_7_Ngay'!$R:$R,MATCH($J107,'05_Theo_Doi_Gio_Cong_7_Ngay'!$B:$B,0)),0),'06_DS_Chinh_Thuc'!$B:$B,0)),"Đang theo dõi"))))</f>
      </c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ht="14.25" customHeight="1" spans="1:26" x14ac:dyDescent="0.25">
      <c r="A108" s="66">
        <f t="shared" si="0"/>
      </c>
      <c r="B108" s="61"/>
      <c r="C108" s="66">
        <f t="array" ref="C108">IF(B108="","",IFERROR(INDEX('01_UngVien_PhongVan'!$D:$D,MATCH(B108,'01_UngVien_PhongVan'!$B:$B,0)),"Không tìm thấy mã ứng viên"))</f>
      </c>
      <c r="D108" s="67">
        <f t="array" ref="D108">IF(B108="","",IFERROR(INDEX('01_UngVien_PhongVan'!$AZ:$AZ,MATCH(B108,'01_UngVien_PhongVan'!$B:$B,0)),""))</f>
      </c>
      <c r="E108" s="68"/>
      <c r="F108" s="66">
        <f t="shared" si="1"/>
      </c>
      <c r="G108" s="67">
        <f t="shared" si="2"/>
      </c>
      <c r="H108" s="61"/>
      <c r="I108" s="61"/>
      <c r="J108" s="66">
        <f t="shared" si="3"/>
      </c>
      <c r="K108" s="61"/>
      <c r="L108" s="66">
        <f>IF(D108="","",IF(AND(MONTH(D108)='04_DS_Nhan_Viec_Trong_Thang'!$C$2,YEAR(D108)='04_DS_Nhan_Viec_Trong_Thang'!$E$2),SUMPRODUCT(($D$2:D108&lt;&gt;"")*(MONTH($D$2:D108)='04_DS_Nhan_Viec_Trong_Thang'!$C$2)*(YEAR($D$2:D108)='04_DS_Nhan_Viec_Trong_Thang'!$E$2)),""))</f>
      </c>
      <c r="M108" s="65">
        <f t="shared" si="4"/>
      </c>
      <c r="N108" s="61">
        <f t="array" ref="N108">IF($B108="","",IF($J108="","Đang theo dõi",IF(OR(IFERROR(INDEX('05_Theo_Doi_Gio_Cong_7_Ngay'!$R:$R,MATCH($J108,'05_Theo_Doi_Gio_Cong_7_Ngay'!$B:$B,0)),"")="",IFERROR(INDEX('05_Theo_Doi_Gio_Cong_7_Ngay'!$R:$R,MATCH($J108,'05_Theo_Doi_Gio_Cong_7_Ngay'!$B:$B,0)),0)=0),"Đang theo dõi",IFERROR(INDEX('06_DS_Chinh_Thuc'!$K:$K,MATCH(IFERROR(INDEX('05_Theo_Doi_Gio_Cong_7_Ngay'!$R:$R,MATCH($J108,'05_Theo_Doi_Gio_Cong_7_Ngay'!$B:$B,0)),0),'06_DS_Chinh_Thuc'!$B:$B,0)),"Đang theo dõi"))))</f>
      </c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ht="14.25" customHeight="1" spans="1:26" x14ac:dyDescent="0.25">
      <c r="A109" s="66">
        <f t="shared" si="0"/>
      </c>
      <c r="B109" s="61"/>
      <c r="C109" s="66">
        <f t="array" ref="C109">IF(B109="","",IFERROR(INDEX('01_UngVien_PhongVan'!$D:$D,MATCH(B109,'01_UngVien_PhongVan'!$B:$B,0)),"Không tìm thấy mã ứng viên"))</f>
      </c>
      <c r="D109" s="67">
        <f t="array" ref="D109">IF(B109="","",IFERROR(INDEX('01_UngVien_PhongVan'!$AZ:$AZ,MATCH(B109,'01_UngVien_PhongVan'!$B:$B,0)),""))</f>
      </c>
      <c r="E109" s="68"/>
      <c r="F109" s="66">
        <f t="shared" si="1"/>
      </c>
      <c r="G109" s="67">
        <f t="shared" si="2"/>
      </c>
      <c r="H109" s="61"/>
      <c r="I109" s="61"/>
      <c r="J109" s="66">
        <f t="shared" si="3"/>
      </c>
      <c r="K109" s="61"/>
      <c r="L109" s="66">
        <f>IF(D109="","",IF(AND(MONTH(D109)='04_DS_Nhan_Viec_Trong_Thang'!$C$2,YEAR(D109)='04_DS_Nhan_Viec_Trong_Thang'!$E$2),SUMPRODUCT(($D$2:D109&lt;&gt;"")*(MONTH($D$2:D109)='04_DS_Nhan_Viec_Trong_Thang'!$C$2)*(YEAR($D$2:D109)='04_DS_Nhan_Viec_Trong_Thang'!$E$2)),""))</f>
      </c>
      <c r="M109" s="65">
        <f t="shared" si="4"/>
      </c>
      <c r="N109" s="61">
        <f t="array" ref="N109">IF($B109="","",IF($J109="","Đang theo dõi",IF(OR(IFERROR(INDEX('05_Theo_Doi_Gio_Cong_7_Ngay'!$R:$R,MATCH($J109,'05_Theo_Doi_Gio_Cong_7_Ngay'!$B:$B,0)),"")="",IFERROR(INDEX('05_Theo_Doi_Gio_Cong_7_Ngay'!$R:$R,MATCH($J109,'05_Theo_Doi_Gio_Cong_7_Ngay'!$B:$B,0)),0)=0),"Đang theo dõi",IFERROR(INDEX('06_DS_Chinh_Thuc'!$K:$K,MATCH(IFERROR(INDEX('05_Theo_Doi_Gio_Cong_7_Ngay'!$R:$R,MATCH($J109,'05_Theo_Doi_Gio_Cong_7_Ngay'!$B:$B,0)),0),'06_DS_Chinh_Thuc'!$B:$B,0)),"Đang theo dõi"))))</f>
      </c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ht="14.25" customHeight="1" spans="1:26" x14ac:dyDescent="0.25">
      <c r="A110" s="66">
        <f t="shared" si="0"/>
      </c>
      <c r="B110" s="61"/>
      <c r="C110" s="66">
        <f t="array" ref="C110">IF(B110="","",IFERROR(INDEX('01_UngVien_PhongVan'!$D:$D,MATCH(B110,'01_UngVien_PhongVan'!$B:$B,0)),"Không tìm thấy mã ứng viên"))</f>
      </c>
      <c r="D110" s="67">
        <f t="array" ref="D110">IF(B110="","",IFERROR(INDEX('01_UngVien_PhongVan'!$AZ:$AZ,MATCH(B110,'01_UngVien_PhongVan'!$B:$B,0)),""))</f>
      </c>
      <c r="E110" s="68"/>
      <c r="F110" s="66">
        <f t="shared" si="1"/>
      </c>
      <c r="G110" s="67">
        <f t="shared" si="2"/>
      </c>
      <c r="H110" s="61"/>
      <c r="I110" s="61"/>
      <c r="J110" s="66">
        <f t="shared" si="3"/>
      </c>
      <c r="K110" s="61"/>
      <c r="L110" s="66">
        <f>IF(D110="","",IF(AND(MONTH(D110)='04_DS_Nhan_Viec_Trong_Thang'!$C$2,YEAR(D110)='04_DS_Nhan_Viec_Trong_Thang'!$E$2),SUMPRODUCT(($D$2:D110&lt;&gt;"")*(MONTH($D$2:D110)='04_DS_Nhan_Viec_Trong_Thang'!$C$2)*(YEAR($D$2:D110)='04_DS_Nhan_Viec_Trong_Thang'!$E$2)),""))</f>
      </c>
      <c r="M110" s="65">
        <f t="shared" si="4"/>
      </c>
      <c r="N110" s="61">
        <f t="array" ref="N110">IF($B110="","",IF($J110="","Đang theo dõi",IF(OR(IFERROR(INDEX('05_Theo_Doi_Gio_Cong_7_Ngay'!$R:$R,MATCH($J110,'05_Theo_Doi_Gio_Cong_7_Ngay'!$B:$B,0)),"")="",IFERROR(INDEX('05_Theo_Doi_Gio_Cong_7_Ngay'!$R:$R,MATCH($J110,'05_Theo_Doi_Gio_Cong_7_Ngay'!$B:$B,0)),0)=0),"Đang theo dõi",IFERROR(INDEX('06_DS_Chinh_Thuc'!$K:$K,MATCH(IFERROR(INDEX('05_Theo_Doi_Gio_Cong_7_Ngay'!$R:$R,MATCH($J110,'05_Theo_Doi_Gio_Cong_7_Ngay'!$B:$B,0)),0),'06_DS_Chinh_Thuc'!$B:$B,0)),"Đang theo dõi"))))</f>
      </c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ht="14.25" customHeight="1" spans="1:26" x14ac:dyDescent="0.25">
      <c r="A111" s="66">
        <f t="shared" si="0"/>
      </c>
      <c r="B111" s="61"/>
      <c r="C111" s="66">
        <f t="array" ref="C111">IF(B111="","",IFERROR(INDEX('01_UngVien_PhongVan'!$D:$D,MATCH(B111,'01_UngVien_PhongVan'!$B:$B,0)),"Không tìm thấy mã ứng viên"))</f>
      </c>
      <c r="D111" s="67">
        <f t="array" ref="D111">IF(B111="","",IFERROR(INDEX('01_UngVien_PhongVan'!$AZ:$AZ,MATCH(B111,'01_UngVien_PhongVan'!$B:$B,0)),""))</f>
      </c>
      <c r="E111" s="68"/>
      <c r="F111" s="66">
        <f t="shared" si="1"/>
      </c>
      <c r="G111" s="67">
        <f t="shared" si="2"/>
      </c>
      <c r="H111" s="61"/>
      <c r="I111" s="61"/>
      <c r="J111" s="66">
        <f t="shared" si="3"/>
      </c>
      <c r="K111" s="61"/>
      <c r="L111" s="66">
        <f>IF(D111="","",IF(AND(MONTH(D111)='04_DS_Nhan_Viec_Trong_Thang'!$C$2,YEAR(D111)='04_DS_Nhan_Viec_Trong_Thang'!$E$2),SUMPRODUCT(($D$2:D111&lt;&gt;"")*(MONTH($D$2:D111)='04_DS_Nhan_Viec_Trong_Thang'!$C$2)*(YEAR($D$2:D111)='04_DS_Nhan_Viec_Trong_Thang'!$E$2)),""))</f>
      </c>
      <c r="M111" s="65">
        <f t="shared" si="4"/>
      </c>
      <c r="N111" s="61">
        <f t="array" ref="N111">IF($B111="","",IF($J111="","Đang theo dõi",IF(OR(IFERROR(INDEX('05_Theo_Doi_Gio_Cong_7_Ngay'!$R:$R,MATCH($J111,'05_Theo_Doi_Gio_Cong_7_Ngay'!$B:$B,0)),"")="",IFERROR(INDEX('05_Theo_Doi_Gio_Cong_7_Ngay'!$R:$R,MATCH($J111,'05_Theo_Doi_Gio_Cong_7_Ngay'!$B:$B,0)),0)=0),"Đang theo dõi",IFERROR(INDEX('06_DS_Chinh_Thuc'!$K:$K,MATCH(IFERROR(INDEX('05_Theo_Doi_Gio_Cong_7_Ngay'!$R:$R,MATCH($J111,'05_Theo_Doi_Gio_Cong_7_Ngay'!$B:$B,0)),0),'06_DS_Chinh_Thuc'!$B:$B,0)),"Đang theo dõi"))))</f>
      </c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ht="14.25" customHeight="1" spans="1:26" x14ac:dyDescent="0.25">
      <c r="A112" s="66">
        <f t="shared" si="0"/>
      </c>
      <c r="B112" s="61"/>
      <c r="C112" s="66">
        <f t="array" ref="C112">IF(B112="","",IFERROR(INDEX('01_UngVien_PhongVan'!$D:$D,MATCH(B112,'01_UngVien_PhongVan'!$B:$B,0)),"Không tìm thấy mã ứng viên"))</f>
      </c>
      <c r="D112" s="67">
        <f t="array" ref="D112">IF(B112="","",IFERROR(INDEX('01_UngVien_PhongVan'!$AZ:$AZ,MATCH(B112,'01_UngVien_PhongVan'!$B:$B,0)),""))</f>
      </c>
      <c r="E112" s="68"/>
      <c r="F112" s="66">
        <f t="shared" si="1"/>
      </c>
      <c r="G112" s="67">
        <f t="shared" si="2"/>
      </c>
      <c r="H112" s="61"/>
      <c r="I112" s="61"/>
      <c r="J112" s="66">
        <f t="shared" si="3"/>
      </c>
      <c r="K112" s="61"/>
      <c r="L112" s="66">
        <f>IF(D112="","",IF(AND(MONTH(D112)='04_DS_Nhan_Viec_Trong_Thang'!$C$2,YEAR(D112)='04_DS_Nhan_Viec_Trong_Thang'!$E$2),SUMPRODUCT(($D$2:D112&lt;&gt;"")*(MONTH($D$2:D112)='04_DS_Nhan_Viec_Trong_Thang'!$C$2)*(YEAR($D$2:D112)='04_DS_Nhan_Viec_Trong_Thang'!$E$2)),""))</f>
      </c>
      <c r="M112" s="65">
        <f t="shared" si="4"/>
      </c>
      <c r="N112" s="61">
        <f t="array" ref="N112">IF($B112="","",IF($J112="","Đang theo dõi",IF(OR(IFERROR(INDEX('05_Theo_Doi_Gio_Cong_7_Ngay'!$R:$R,MATCH($J112,'05_Theo_Doi_Gio_Cong_7_Ngay'!$B:$B,0)),"")="",IFERROR(INDEX('05_Theo_Doi_Gio_Cong_7_Ngay'!$R:$R,MATCH($J112,'05_Theo_Doi_Gio_Cong_7_Ngay'!$B:$B,0)),0)=0),"Đang theo dõi",IFERROR(INDEX('06_DS_Chinh_Thuc'!$K:$K,MATCH(IFERROR(INDEX('05_Theo_Doi_Gio_Cong_7_Ngay'!$R:$R,MATCH($J112,'05_Theo_Doi_Gio_Cong_7_Ngay'!$B:$B,0)),0),'06_DS_Chinh_Thuc'!$B:$B,0)),"Đang theo dõi"))))</f>
      </c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ht="14.25" customHeight="1" spans="1:26" x14ac:dyDescent="0.25">
      <c r="A113" s="66">
        <f t="shared" si="0"/>
      </c>
      <c r="B113" s="61"/>
      <c r="C113" s="66">
        <f t="array" ref="C113">IF(B113="","",IFERROR(INDEX('01_UngVien_PhongVan'!$D:$D,MATCH(B113,'01_UngVien_PhongVan'!$B:$B,0)),"Không tìm thấy mã ứng viên"))</f>
      </c>
      <c r="D113" s="67">
        <f t="array" ref="D113">IF(B113="","",IFERROR(INDEX('01_UngVien_PhongVan'!$AZ:$AZ,MATCH(B113,'01_UngVien_PhongVan'!$B:$B,0)),""))</f>
      </c>
      <c r="E113" s="68"/>
      <c r="F113" s="66">
        <f t="shared" si="1"/>
      </c>
      <c r="G113" s="67">
        <f t="shared" si="2"/>
      </c>
      <c r="H113" s="61"/>
      <c r="I113" s="61"/>
      <c r="J113" s="66">
        <f t="shared" si="3"/>
      </c>
      <c r="K113" s="61"/>
      <c r="L113" s="66">
        <f>IF(D113="","",IF(AND(MONTH(D113)='04_DS_Nhan_Viec_Trong_Thang'!$C$2,YEAR(D113)='04_DS_Nhan_Viec_Trong_Thang'!$E$2),SUMPRODUCT(($D$2:D113&lt;&gt;"")*(MONTH($D$2:D113)='04_DS_Nhan_Viec_Trong_Thang'!$C$2)*(YEAR($D$2:D113)='04_DS_Nhan_Viec_Trong_Thang'!$E$2)),""))</f>
      </c>
      <c r="M113" s="65">
        <f t="shared" si="4"/>
      </c>
      <c r="N113" s="61">
        <f t="array" ref="N113">IF($B113="","",IF($J113="","Đang theo dõi",IF(OR(IFERROR(INDEX('05_Theo_Doi_Gio_Cong_7_Ngay'!$R:$R,MATCH($J113,'05_Theo_Doi_Gio_Cong_7_Ngay'!$B:$B,0)),"")="",IFERROR(INDEX('05_Theo_Doi_Gio_Cong_7_Ngay'!$R:$R,MATCH($J113,'05_Theo_Doi_Gio_Cong_7_Ngay'!$B:$B,0)),0)=0),"Đang theo dõi",IFERROR(INDEX('06_DS_Chinh_Thuc'!$K:$K,MATCH(IFERROR(INDEX('05_Theo_Doi_Gio_Cong_7_Ngay'!$R:$R,MATCH($J113,'05_Theo_Doi_Gio_Cong_7_Ngay'!$B:$B,0)),0),'06_DS_Chinh_Thuc'!$B:$B,0)),"Đang theo dõi"))))</f>
      </c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ht="14.25" customHeight="1" spans="1:26" x14ac:dyDescent="0.25">
      <c r="A114" s="66">
        <f t="shared" si="0"/>
      </c>
      <c r="B114" s="61"/>
      <c r="C114" s="66">
        <f t="array" ref="C114">IF(B114="","",IFERROR(INDEX('01_UngVien_PhongVan'!$D:$D,MATCH(B114,'01_UngVien_PhongVan'!$B:$B,0)),"Không tìm thấy mã ứng viên"))</f>
      </c>
      <c r="D114" s="67">
        <f t="array" ref="D114">IF(B114="","",IFERROR(INDEX('01_UngVien_PhongVan'!$AZ:$AZ,MATCH(B114,'01_UngVien_PhongVan'!$B:$B,0)),""))</f>
      </c>
      <c r="E114" s="68"/>
      <c r="F114" s="66">
        <f t="shared" si="1"/>
      </c>
      <c r="G114" s="67">
        <f t="shared" si="2"/>
      </c>
      <c r="H114" s="61"/>
      <c r="I114" s="61"/>
      <c r="J114" s="66">
        <f t="shared" si="3"/>
      </c>
      <c r="K114" s="61"/>
      <c r="L114" s="66">
        <f>IF(D114="","",IF(AND(MONTH(D114)='04_DS_Nhan_Viec_Trong_Thang'!$C$2,YEAR(D114)='04_DS_Nhan_Viec_Trong_Thang'!$E$2),SUMPRODUCT(($D$2:D114&lt;&gt;"")*(MONTH($D$2:D114)='04_DS_Nhan_Viec_Trong_Thang'!$C$2)*(YEAR($D$2:D114)='04_DS_Nhan_Viec_Trong_Thang'!$E$2)),""))</f>
      </c>
      <c r="M114" s="65">
        <f t="shared" si="4"/>
      </c>
      <c r="N114" s="61">
        <f t="array" ref="N114">IF($B114="","",IF($J114="","Đang theo dõi",IF(OR(IFERROR(INDEX('05_Theo_Doi_Gio_Cong_7_Ngay'!$R:$R,MATCH($J114,'05_Theo_Doi_Gio_Cong_7_Ngay'!$B:$B,0)),"")="",IFERROR(INDEX('05_Theo_Doi_Gio_Cong_7_Ngay'!$R:$R,MATCH($J114,'05_Theo_Doi_Gio_Cong_7_Ngay'!$B:$B,0)),0)=0),"Đang theo dõi",IFERROR(INDEX('06_DS_Chinh_Thuc'!$K:$K,MATCH(IFERROR(INDEX('05_Theo_Doi_Gio_Cong_7_Ngay'!$R:$R,MATCH($J114,'05_Theo_Doi_Gio_Cong_7_Ngay'!$B:$B,0)),0),'06_DS_Chinh_Thuc'!$B:$B,0)),"Đang theo dõi"))))</f>
      </c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ht="14.25" customHeight="1" spans="1:26" x14ac:dyDescent="0.25">
      <c r="A115" s="66">
        <f t="shared" si="0"/>
      </c>
      <c r="B115" s="61"/>
      <c r="C115" s="66">
        <f t="array" ref="C115">IF(B115="","",IFERROR(INDEX('01_UngVien_PhongVan'!$D:$D,MATCH(B115,'01_UngVien_PhongVan'!$B:$B,0)),"Không tìm thấy mã ứng viên"))</f>
      </c>
      <c r="D115" s="67">
        <f t="array" ref="D115">IF(B115="","",IFERROR(INDEX('01_UngVien_PhongVan'!$AZ:$AZ,MATCH(B115,'01_UngVien_PhongVan'!$B:$B,0)),""))</f>
      </c>
      <c r="E115" s="68"/>
      <c r="F115" s="66">
        <f t="shared" si="1"/>
      </c>
      <c r="G115" s="67">
        <f t="shared" si="2"/>
      </c>
      <c r="H115" s="61"/>
      <c r="I115" s="61"/>
      <c r="J115" s="66">
        <f t="shared" si="3"/>
      </c>
      <c r="K115" s="61"/>
      <c r="L115" s="66">
        <f>IF(D115="","",IF(AND(MONTH(D115)='04_DS_Nhan_Viec_Trong_Thang'!$C$2,YEAR(D115)='04_DS_Nhan_Viec_Trong_Thang'!$E$2),SUMPRODUCT(($D$2:D115&lt;&gt;"")*(MONTH($D$2:D115)='04_DS_Nhan_Viec_Trong_Thang'!$C$2)*(YEAR($D$2:D115)='04_DS_Nhan_Viec_Trong_Thang'!$E$2)),""))</f>
      </c>
      <c r="M115" s="65">
        <f t="shared" si="4"/>
      </c>
      <c r="N115" s="61">
        <f t="array" ref="N115">IF($B115="","",IF($J115="","Đang theo dõi",IF(OR(IFERROR(INDEX('05_Theo_Doi_Gio_Cong_7_Ngay'!$R:$R,MATCH($J115,'05_Theo_Doi_Gio_Cong_7_Ngay'!$B:$B,0)),"")="",IFERROR(INDEX('05_Theo_Doi_Gio_Cong_7_Ngay'!$R:$R,MATCH($J115,'05_Theo_Doi_Gio_Cong_7_Ngay'!$B:$B,0)),0)=0),"Đang theo dõi",IFERROR(INDEX('06_DS_Chinh_Thuc'!$K:$K,MATCH(IFERROR(INDEX('05_Theo_Doi_Gio_Cong_7_Ngay'!$R:$R,MATCH($J115,'05_Theo_Doi_Gio_Cong_7_Ngay'!$B:$B,0)),0),'06_DS_Chinh_Thuc'!$B:$B,0)),"Đang theo dõi"))))</f>
      </c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ht="14.25" customHeight="1" spans="1:26" x14ac:dyDescent="0.25">
      <c r="A116" s="66">
        <f t="shared" si="0"/>
      </c>
      <c r="B116" s="61"/>
      <c r="C116" s="66">
        <f t="array" ref="C116">IF(B116="","",IFERROR(INDEX('01_UngVien_PhongVan'!$D:$D,MATCH(B116,'01_UngVien_PhongVan'!$B:$B,0)),"Không tìm thấy mã ứng viên"))</f>
      </c>
      <c r="D116" s="67">
        <f t="array" ref="D116">IF(B116="","",IFERROR(INDEX('01_UngVien_PhongVan'!$AZ:$AZ,MATCH(B116,'01_UngVien_PhongVan'!$B:$B,0)),""))</f>
      </c>
      <c r="E116" s="68"/>
      <c r="F116" s="66">
        <f t="shared" si="1"/>
      </c>
      <c r="G116" s="67">
        <f t="shared" si="2"/>
      </c>
      <c r="H116" s="61"/>
      <c r="I116" s="61"/>
      <c r="J116" s="66">
        <f t="shared" si="3"/>
      </c>
      <c r="K116" s="61"/>
      <c r="L116" s="66">
        <f>IF(D116="","",IF(AND(MONTH(D116)='04_DS_Nhan_Viec_Trong_Thang'!$C$2,YEAR(D116)='04_DS_Nhan_Viec_Trong_Thang'!$E$2),SUMPRODUCT(($D$2:D116&lt;&gt;"")*(MONTH($D$2:D116)='04_DS_Nhan_Viec_Trong_Thang'!$C$2)*(YEAR($D$2:D116)='04_DS_Nhan_Viec_Trong_Thang'!$E$2)),""))</f>
      </c>
      <c r="M116" s="65">
        <f t="shared" si="4"/>
      </c>
      <c r="N116" s="61">
        <f t="array" ref="N116">IF($B116="","",IF($J116="","Đang theo dõi",IF(OR(IFERROR(INDEX('05_Theo_Doi_Gio_Cong_7_Ngay'!$R:$R,MATCH($J116,'05_Theo_Doi_Gio_Cong_7_Ngay'!$B:$B,0)),"")="",IFERROR(INDEX('05_Theo_Doi_Gio_Cong_7_Ngay'!$R:$R,MATCH($J116,'05_Theo_Doi_Gio_Cong_7_Ngay'!$B:$B,0)),0)=0),"Đang theo dõi",IFERROR(INDEX('06_DS_Chinh_Thuc'!$K:$K,MATCH(IFERROR(INDEX('05_Theo_Doi_Gio_Cong_7_Ngay'!$R:$R,MATCH($J116,'05_Theo_Doi_Gio_Cong_7_Ngay'!$B:$B,0)),0),'06_DS_Chinh_Thuc'!$B:$B,0)),"Đang theo dõi"))))</f>
      </c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ht="14.25" customHeight="1" spans="1:26" x14ac:dyDescent="0.25">
      <c r="A117" s="66">
        <f t="shared" si="0"/>
      </c>
      <c r="B117" s="61"/>
      <c r="C117" s="66">
        <f t="array" ref="C117">IF(B117="","",IFERROR(INDEX('01_UngVien_PhongVan'!$D:$D,MATCH(B117,'01_UngVien_PhongVan'!$B:$B,0)),"Không tìm thấy mã ứng viên"))</f>
      </c>
      <c r="D117" s="67">
        <f t="array" ref="D117">IF(B117="","",IFERROR(INDEX('01_UngVien_PhongVan'!$AZ:$AZ,MATCH(B117,'01_UngVien_PhongVan'!$B:$B,0)),""))</f>
      </c>
      <c r="E117" s="68"/>
      <c r="F117" s="66">
        <f t="shared" si="1"/>
      </c>
      <c r="G117" s="67">
        <f t="shared" si="2"/>
      </c>
      <c r="H117" s="61"/>
      <c r="I117" s="61"/>
      <c r="J117" s="66">
        <f t="shared" si="3"/>
      </c>
      <c r="K117" s="61"/>
      <c r="L117" s="66">
        <f>IF(D117="","",IF(AND(MONTH(D117)='04_DS_Nhan_Viec_Trong_Thang'!$C$2,YEAR(D117)='04_DS_Nhan_Viec_Trong_Thang'!$E$2),SUMPRODUCT(($D$2:D117&lt;&gt;"")*(MONTH($D$2:D117)='04_DS_Nhan_Viec_Trong_Thang'!$C$2)*(YEAR($D$2:D117)='04_DS_Nhan_Viec_Trong_Thang'!$E$2)),""))</f>
      </c>
      <c r="M117" s="65">
        <f t="shared" si="4"/>
      </c>
      <c r="N117" s="61">
        <f t="array" ref="N117">IF($B117="","",IF($J117="","Đang theo dõi",IF(OR(IFERROR(INDEX('05_Theo_Doi_Gio_Cong_7_Ngay'!$R:$R,MATCH($J117,'05_Theo_Doi_Gio_Cong_7_Ngay'!$B:$B,0)),"")="",IFERROR(INDEX('05_Theo_Doi_Gio_Cong_7_Ngay'!$R:$R,MATCH($J117,'05_Theo_Doi_Gio_Cong_7_Ngay'!$B:$B,0)),0)=0),"Đang theo dõi",IFERROR(INDEX('06_DS_Chinh_Thuc'!$K:$K,MATCH(IFERROR(INDEX('05_Theo_Doi_Gio_Cong_7_Ngay'!$R:$R,MATCH($J117,'05_Theo_Doi_Gio_Cong_7_Ngay'!$B:$B,0)),0),'06_DS_Chinh_Thuc'!$B:$B,0)),"Đang theo dõi"))))</f>
      </c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ht="14.25" customHeight="1" spans="1:26" x14ac:dyDescent="0.25">
      <c r="A118" s="66">
        <f t="shared" si="0"/>
      </c>
      <c r="B118" s="61"/>
      <c r="C118" s="66">
        <f t="array" ref="C118">IF(B118="","",IFERROR(INDEX('01_UngVien_PhongVan'!$D:$D,MATCH(B118,'01_UngVien_PhongVan'!$B:$B,0)),"Không tìm thấy mã ứng viên"))</f>
      </c>
      <c r="D118" s="67">
        <f t="array" ref="D118">IF(B118="","",IFERROR(INDEX('01_UngVien_PhongVan'!$AZ:$AZ,MATCH(B118,'01_UngVien_PhongVan'!$B:$B,0)),""))</f>
      </c>
      <c r="E118" s="68"/>
      <c r="F118" s="66">
        <f t="shared" si="1"/>
      </c>
      <c r="G118" s="67">
        <f t="shared" si="2"/>
      </c>
      <c r="H118" s="61"/>
      <c r="I118" s="61"/>
      <c r="J118" s="66">
        <f t="shared" si="3"/>
      </c>
      <c r="K118" s="61"/>
      <c r="L118" s="66">
        <f>IF(D118="","",IF(AND(MONTH(D118)='04_DS_Nhan_Viec_Trong_Thang'!$C$2,YEAR(D118)='04_DS_Nhan_Viec_Trong_Thang'!$E$2),SUMPRODUCT(($D$2:D118&lt;&gt;"")*(MONTH($D$2:D118)='04_DS_Nhan_Viec_Trong_Thang'!$C$2)*(YEAR($D$2:D118)='04_DS_Nhan_Viec_Trong_Thang'!$E$2)),""))</f>
      </c>
      <c r="M118" s="65">
        <f t="shared" si="4"/>
      </c>
      <c r="N118" s="61">
        <f t="array" ref="N118">IF($B118="","",IF($J118="","Đang theo dõi",IF(OR(IFERROR(INDEX('05_Theo_Doi_Gio_Cong_7_Ngay'!$R:$R,MATCH($J118,'05_Theo_Doi_Gio_Cong_7_Ngay'!$B:$B,0)),"")="",IFERROR(INDEX('05_Theo_Doi_Gio_Cong_7_Ngay'!$R:$R,MATCH($J118,'05_Theo_Doi_Gio_Cong_7_Ngay'!$B:$B,0)),0)=0),"Đang theo dõi",IFERROR(INDEX('06_DS_Chinh_Thuc'!$K:$K,MATCH(IFERROR(INDEX('05_Theo_Doi_Gio_Cong_7_Ngay'!$R:$R,MATCH($J118,'05_Theo_Doi_Gio_Cong_7_Ngay'!$B:$B,0)),0),'06_DS_Chinh_Thuc'!$B:$B,0)),"Đang theo dõi"))))</f>
      </c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ht="14.25" customHeight="1" spans="1:26" x14ac:dyDescent="0.25">
      <c r="A119" s="66">
        <f t="shared" si="0"/>
      </c>
      <c r="B119" s="61"/>
      <c r="C119" s="66">
        <f t="array" ref="C119">IF(B119="","",IFERROR(INDEX('01_UngVien_PhongVan'!$D:$D,MATCH(B119,'01_UngVien_PhongVan'!$B:$B,0)),"Không tìm thấy mã ứng viên"))</f>
      </c>
      <c r="D119" s="67">
        <f t="array" ref="D119">IF(B119="","",IFERROR(INDEX('01_UngVien_PhongVan'!$AZ:$AZ,MATCH(B119,'01_UngVien_PhongVan'!$B:$B,0)),""))</f>
      </c>
      <c r="E119" s="68"/>
      <c r="F119" s="66">
        <f t="shared" si="1"/>
      </c>
      <c r="G119" s="67">
        <f t="shared" si="2"/>
      </c>
      <c r="H119" s="61"/>
      <c r="I119" s="61"/>
      <c r="J119" s="66">
        <f t="shared" si="3"/>
      </c>
      <c r="K119" s="61"/>
      <c r="L119" s="66">
        <f>IF(D119="","",IF(AND(MONTH(D119)='04_DS_Nhan_Viec_Trong_Thang'!$C$2,YEAR(D119)='04_DS_Nhan_Viec_Trong_Thang'!$E$2),SUMPRODUCT(($D$2:D119&lt;&gt;"")*(MONTH($D$2:D119)='04_DS_Nhan_Viec_Trong_Thang'!$C$2)*(YEAR($D$2:D119)='04_DS_Nhan_Viec_Trong_Thang'!$E$2)),""))</f>
      </c>
      <c r="M119" s="65">
        <f t="shared" si="4"/>
      </c>
      <c r="N119" s="61">
        <f t="array" ref="N119">IF($B119="","",IF($J119="","Đang theo dõi",IF(OR(IFERROR(INDEX('05_Theo_Doi_Gio_Cong_7_Ngay'!$R:$R,MATCH($J119,'05_Theo_Doi_Gio_Cong_7_Ngay'!$B:$B,0)),"")="",IFERROR(INDEX('05_Theo_Doi_Gio_Cong_7_Ngay'!$R:$R,MATCH($J119,'05_Theo_Doi_Gio_Cong_7_Ngay'!$B:$B,0)),0)=0),"Đang theo dõi",IFERROR(INDEX('06_DS_Chinh_Thuc'!$K:$K,MATCH(IFERROR(INDEX('05_Theo_Doi_Gio_Cong_7_Ngay'!$R:$R,MATCH($J119,'05_Theo_Doi_Gio_Cong_7_Ngay'!$B:$B,0)),0),'06_DS_Chinh_Thuc'!$B:$B,0)),"Đang theo dõi"))))</f>
      </c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ht="14.25" customHeight="1" spans="1:26" x14ac:dyDescent="0.25">
      <c r="A120" s="66">
        <f t="shared" si="0"/>
      </c>
      <c r="B120" s="61"/>
      <c r="C120" s="66">
        <f t="array" ref="C120">IF(B120="","",IFERROR(INDEX('01_UngVien_PhongVan'!$D:$D,MATCH(B120,'01_UngVien_PhongVan'!$B:$B,0)),"Không tìm thấy mã ứng viên"))</f>
      </c>
      <c r="D120" s="67">
        <f t="array" ref="D120">IF(B120="","",IFERROR(INDEX('01_UngVien_PhongVan'!$AZ:$AZ,MATCH(B120,'01_UngVien_PhongVan'!$B:$B,0)),""))</f>
      </c>
      <c r="E120" s="68"/>
      <c r="F120" s="66">
        <f t="shared" si="1"/>
      </c>
      <c r="G120" s="67">
        <f t="shared" si="2"/>
      </c>
      <c r="H120" s="61"/>
      <c r="I120" s="61"/>
      <c r="J120" s="66">
        <f t="shared" si="3"/>
      </c>
      <c r="K120" s="61"/>
      <c r="L120" s="66">
        <f>IF(D120="","",IF(AND(MONTH(D120)='04_DS_Nhan_Viec_Trong_Thang'!$C$2,YEAR(D120)='04_DS_Nhan_Viec_Trong_Thang'!$E$2),SUMPRODUCT(($D$2:D120&lt;&gt;"")*(MONTH($D$2:D120)='04_DS_Nhan_Viec_Trong_Thang'!$C$2)*(YEAR($D$2:D120)='04_DS_Nhan_Viec_Trong_Thang'!$E$2)),""))</f>
      </c>
      <c r="M120" s="65">
        <f t="shared" si="4"/>
      </c>
      <c r="N120" s="61">
        <f t="array" ref="N120">IF($B120="","",IF($J120="","Đang theo dõi",IF(OR(IFERROR(INDEX('05_Theo_Doi_Gio_Cong_7_Ngay'!$R:$R,MATCH($J120,'05_Theo_Doi_Gio_Cong_7_Ngay'!$B:$B,0)),"")="",IFERROR(INDEX('05_Theo_Doi_Gio_Cong_7_Ngay'!$R:$R,MATCH($J120,'05_Theo_Doi_Gio_Cong_7_Ngay'!$B:$B,0)),0)=0),"Đang theo dõi",IFERROR(INDEX('06_DS_Chinh_Thuc'!$K:$K,MATCH(IFERROR(INDEX('05_Theo_Doi_Gio_Cong_7_Ngay'!$R:$R,MATCH($J120,'05_Theo_Doi_Gio_Cong_7_Ngay'!$B:$B,0)),0),'06_DS_Chinh_Thuc'!$B:$B,0)),"Đang theo dõi"))))</f>
      </c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ht="14.25" customHeight="1" spans="1:26" x14ac:dyDescent="0.25">
      <c r="A121" s="66">
        <f t="shared" si="0"/>
      </c>
      <c r="B121" s="61"/>
      <c r="C121" s="66">
        <f t="array" ref="C121">IF(B121="","",IFERROR(INDEX('01_UngVien_PhongVan'!$D:$D,MATCH(B121,'01_UngVien_PhongVan'!$B:$B,0)),"Không tìm thấy mã ứng viên"))</f>
      </c>
      <c r="D121" s="67">
        <f t="array" ref="D121">IF(B121="","",IFERROR(INDEX('01_UngVien_PhongVan'!$AZ:$AZ,MATCH(B121,'01_UngVien_PhongVan'!$B:$B,0)),""))</f>
      </c>
      <c r="E121" s="68"/>
      <c r="F121" s="66">
        <f t="shared" si="1"/>
      </c>
      <c r="G121" s="67">
        <f t="shared" si="2"/>
      </c>
      <c r="H121" s="61"/>
      <c r="I121" s="61"/>
      <c r="J121" s="66">
        <f t="shared" si="3"/>
      </c>
      <c r="K121" s="61"/>
      <c r="L121" s="66">
        <f>IF(D121="","",IF(AND(MONTH(D121)='04_DS_Nhan_Viec_Trong_Thang'!$C$2,YEAR(D121)='04_DS_Nhan_Viec_Trong_Thang'!$E$2),SUMPRODUCT(($D$2:D121&lt;&gt;"")*(MONTH($D$2:D121)='04_DS_Nhan_Viec_Trong_Thang'!$C$2)*(YEAR($D$2:D121)='04_DS_Nhan_Viec_Trong_Thang'!$E$2)),""))</f>
      </c>
      <c r="M121" s="65">
        <f t="shared" si="4"/>
      </c>
      <c r="N121" s="61">
        <f t="array" ref="N121">IF($B121="","",IF($J121="","Đang theo dõi",IF(OR(IFERROR(INDEX('05_Theo_Doi_Gio_Cong_7_Ngay'!$R:$R,MATCH($J121,'05_Theo_Doi_Gio_Cong_7_Ngay'!$B:$B,0)),"")="",IFERROR(INDEX('05_Theo_Doi_Gio_Cong_7_Ngay'!$R:$R,MATCH($J121,'05_Theo_Doi_Gio_Cong_7_Ngay'!$B:$B,0)),0)=0),"Đang theo dõi",IFERROR(INDEX('06_DS_Chinh_Thuc'!$K:$K,MATCH(IFERROR(INDEX('05_Theo_Doi_Gio_Cong_7_Ngay'!$R:$R,MATCH($J121,'05_Theo_Doi_Gio_Cong_7_Ngay'!$B:$B,0)),0),'06_DS_Chinh_Thuc'!$B:$B,0)),"Đang theo dõi"))))</f>
      </c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ht="14.25" customHeight="1" spans="1:26" x14ac:dyDescent="0.25">
      <c r="A122" s="66">
        <f t="shared" si="0"/>
      </c>
      <c r="B122" s="61"/>
      <c r="C122" s="66">
        <f t="array" ref="C122">IF(B122="","",IFERROR(INDEX('01_UngVien_PhongVan'!$D:$D,MATCH(B122,'01_UngVien_PhongVan'!$B:$B,0)),"Không tìm thấy mã ứng viên"))</f>
      </c>
      <c r="D122" s="67">
        <f t="array" ref="D122">IF(B122="","",IFERROR(INDEX('01_UngVien_PhongVan'!$AZ:$AZ,MATCH(B122,'01_UngVien_PhongVan'!$B:$B,0)),""))</f>
      </c>
      <c r="E122" s="68"/>
      <c r="F122" s="66">
        <f t="shared" si="1"/>
      </c>
      <c r="G122" s="67">
        <f t="shared" si="2"/>
      </c>
      <c r="H122" s="61"/>
      <c r="I122" s="61"/>
      <c r="J122" s="66">
        <f t="shared" si="3"/>
      </c>
      <c r="K122" s="61"/>
      <c r="L122" s="66">
        <f>IF(D122="","",IF(AND(MONTH(D122)='04_DS_Nhan_Viec_Trong_Thang'!$C$2,YEAR(D122)='04_DS_Nhan_Viec_Trong_Thang'!$E$2),SUMPRODUCT(($D$2:D122&lt;&gt;"")*(MONTH($D$2:D122)='04_DS_Nhan_Viec_Trong_Thang'!$C$2)*(YEAR($D$2:D122)='04_DS_Nhan_Viec_Trong_Thang'!$E$2)),""))</f>
      </c>
      <c r="M122" s="65">
        <f t="shared" si="4"/>
      </c>
      <c r="N122" s="61">
        <f t="array" ref="N122">IF($B122="","",IF($J122="","Đang theo dõi",IF(OR(IFERROR(INDEX('05_Theo_Doi_Gio_Cong_7_Ngay'!$R:$R,MATCH($J122,'05_Theo_Doi_Gio_Cong_7_Ngay'!$B:$B,0)),"")="",IFERROR(INDEX('05_Theo_Doi_Gio_Cong_7_Ngay'!$R:$R,MATCH($J122,'05_Theo_Doi_Gio_Cong_7_Ngay'!$B:$B,0)),0)=0),"Đang theo dõi",IFERROR(INDEX('06_DS_Chinh_Thuc'!$K:$K,MATCH(IFERROR(INDEX('05_Theo_Doi_Gio_Cong_7_Ngay'!$R:$R,MATCH($J122,'05_Theo_Doi_Gio_Cong_7_Ngay'!$B:$B,0)),0),'06_DS_Chinh_Thuc'!$B:$B,0)),"Đang theo dõi"))))</f>
      </c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ht="14.25" customHeight="1" spans="1:26" x14ac:dyDescent="0.25">
      <c r="A123" s="66">
        <f t="shared" si="0"/>
      </c>
      <c r="B123" s="61"/>
      <c r="C123" s="66">
        <f t="array" ref="C123">IF(B123="","",IFERROR(INDEX('01_UngVien_PhongVan'!$D:$D,MATCH(B123,'01_UngVien_PhongVan'!$B:$B,0)),"Không tìm thấy mã ứng viên"))</f>
      </c>
      <c r="D123" s="67">
        <f t="array" ref="D123">IF(B123="","",IFERROR(INDEX('01_UngVien_PhongVan'!$AZ:$AZ,MATCH(B123,'01_UngVien_PhongVan'!$B:$B,0)),""))</f>
      </c>
      <c r="E123" s="68"/>
      <c r="F123" s="66">
        <f t="shared" si="1"/>
      </c>
      <c r="G123" s="67">
        <f t="shared" si="2"/>
      </c>
      <c r="H123" s="61"/>
      <c r="I123" s="61"/>
      <c r="J123" s="66">
        <f t="shared" si="3"/>
      </c>
      <c r="K123" s="61"/>
      <c r="L123" s="66">
        <f>IF(D123="","",IF(AND(MONTH(D123)='04_DS_Nhan_Viec_Trong_Thang'!$C$2,YEAR(D123)='04_DS_Nhan_Viec_Trong_Thang'!$E$2),SUMPRODUCT(($D$2:D123&lt;&gt;"")*(MONTH($D$2:D123)='04_DS_Nhan_Viec_Trong_Thang'!$C$2)*(YEAR($D$2:D123)='04_DS_Nhan_Viec_Trong_Thang'!$E$2)),""))</f>
      </c>
      <c r="M123" s="65">
        <f t="shared" si="4"/>
      </c>
      <c r="N123" s="61">
        <f t="array" ref="N123">IF($B123="","",IF($J123="","Đang theo dõi",IF(OR(IFERROR(INDEX('05_Theo_Doi_Gio_Cong_7_Ngay'!$R:$R,MATCH($J123,'05_Theo_Doi_Gio_Cong_7_Ngay'!$B:$B,0)),"")="",IFERROR(INDEX('05_Theo_Doi_Gio_Cong_7_Ngay'!$R:$R,MATCH($J123,'05_Theo_Doi_Gio_Cong_7_Ngay'!$B:$B,0)),0)=0),"Đang theo dõi",IFERROR(INDEX('06_DS_Chinh_Thuc'!$K:$K,MATCH(IFERROR(INDEX('05_Theo_Doi_Gio_Cong_7_Ngay'!$R:$R,MATCH($J123,'05_Theo_Doi_Gio_Cong_7_Ngay'!$B:$B,0)),0),'06_DS_Chinh_Thuc'!$B:$B,0)),"Đang theo dõi"))))</f>
      </c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ht="14.25" customHeight="1" spans="1:26" x14ac:dyDescent="0.25">
      <c r="A124" s="66">
        <f t="shared" si="0"/>
      </c>
      <c r="B124" s="61"/>
      <c r="C124" s="66">
        <f t="array" ref="C124">IF(B124="","",IFERROR(INDEX('01_UngVien_PhongVan'!$D:$D,MATCH(B124,'01_UngVien_PhongVan'!$B:$B,0)),"Không tìm thấy mã ứng viên"))</f>
      </c>
      <c r="D124" s="67">
        <f t="array" ref="D124">IF(B124="","",IFERROR(INDEX('01_UngVien_PhongVan'!$AZ:$AZ,MATCH(B124,'01_UngVien_PhongVan'!$B:$B,0)),""))</f>
      </c>
      <c r="E124" s="68"/>
      <c r="F124" s="66">
        <f t="shared" si="1"/>
      </c>
      <c r="G124" s="67">
        <f t="shared" si="2"/>
      </c>
      <c r="H124" s="61"/>
      <c r="I124" s="61"/>
      <c r="J124" s="66">
        <f t="shared" si="3"/>
      </c>
      <c r="K124" s="61"/>
      <c r="L124" s="66">
        <f>IF(D124="","",IF(AND(MONTH(D124)='04_DS_Nhan_Viec_Trong_Thang'!$C$2,YEAR(D124)='04_DS_Nhan_Viec_Trong_Thang'!$E$2),SUMPRODUCT(($D$2:D124&lt;&gt;"")*(MONTH($D$2:D124)='04_DS_Nhan_Viec_Trong_Thang'!$C$2)*(YEAR($D$2:D124)='04_DS_Nhan_Viec_Trong_Thang'!$E$2)),""))</f>
      </c>
      <c r="M124" s="65">
        <f t="shared" si="4"/>
      </c>
      <c r="N124" s="61">
        <f t="array" ref="N124">IF($B124="","",IF($J124="","Đang theo dõi",IF(OR(IFERROR(INDEX('05_Theo_Doi_Gio_Cong_7_Ngay'!$R:$R,MATCH($J124,'05_Theo_Doi_Gio_Cong_7_Ngay'!$B:$B,0)),"")="",IFERROR(INDEX('05_Theo_Doi_Gio_Cong_7_Ngay'!$R:$R,MATCH($J124,'05_Theo_Doi_Gio_Cong_7_Ngay'!$B:$B,0)),0)=0),"Đang theo dõi",IFERROR(INDEX('06_DS_Chinh_Thuc'!$K:$K,MATCH(IFERROR(INDEX('05_Theo_Doi_Gio_Cong_7_Ngay'!$R:$R,MATCH($J124,'05_Theo_Doi_Gio_Cong_7_Ngay'!$B:$B,0)),0),'06_DS_Chinh_Thuc'!$B:$B,0)),"Đang theo dõi"))))</f>
      </c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ht="14.25" customHeight="1" spans="1:26" x14ac:dyDescent="0.25">
      <c r="A125" s="66">
        <f t="shared" si="0"/>
      </c>
      <c r="B125" s="61"/>
      <c r="C125" s="66">
        <f t="array" ref="C125">IF(B125="","",IFERROR(INDEX('01_UngVien_PhongVan'!$D:$D,MATCH(B125,'01_UngVien_PhongVan'!$B:$B,0)),"Không tìm thấy mã ứng viên"))</f>
      </c>
      <c r="D125" s="67">
        <f t="array" ref="D125">IF(B125="","",IFERROR(INDEX('01_UngVien_PhongVan'!$AZ:$AZ,MATCH(B125,'01_UngVien_PhongVan'!$B:$B,0)),""))</f>
      </c>
      <c r="E125" s="68"/>
      <c r="F125" s="66">
        <f t="shared" si="1"/>
      </c>
      <c r="G125" s="67">
        <f t="shared" si="2"/>
      </c>
      <c r="H125" s="61"/>
      <c r="I125" s="61"/>
      <c r="J125" s="66">
        <f t="shared" si="3"/>
      </c>
      <c r="K125" s="61"/>
      <c r="L125" s="66">
        <f>IF(D125="","",IF(AND(MONTH(D125)='04_DS_Nhan_Viec_Trong_Thang'!$C$2,YEAR(D125)='04_DS_Nhan_Viec_Trong_Thang'!$E$2),SUMPRODUCT(($D$2:D125&lt;&gt;"")*(MONTH($D$2:D125)='04_DS_Nhan_Viec_Trong_Thang'!$C$2)*(YEAR($D$2:D125)='04_DS_Nhan_Viec_Trong_Thang'!$E$2)),""))</f>
      </c>
      <c r="M125" s="65">
        <f t="shared" si="4"/>
      </c>
      <c r="N125" s="61">
        <f t="array" ref="N125">IF($B125="","",IF($J125="","Đang theo dõi",IF(OR(IFERROR(INDEX('05_Theo_Doi_Gio_Cong_7_Ngay'!$R:$R,MATCH($J125,'05_Theo_Doi_Gio_Cong_7_Ngay'!$B:$B,0)),"")="",IFERROR(INDEX('05_Theo_Doi_Gio_Cong_7_Ngay'!$R:$R,MATCH($J125,'05_Theo_Doi_Gio_Cong_7_Ngay'!$B:$B,0)),0)=0),"Đang theo dõi",IFERROR(INDEX('06_DS_Chinh_Thuc'!$K:$K,MATCH(IFERROR(INDEX('05_Theo_Doi_Gio_Cong_7_Ngay'!$R:$R,MATCH($J125,'05_Theo_Doi_Gio_Cong_7_Ngay'!$B:$B,0)),0),'06_DS_Chinh_Thuc'!$B:$B,0)),"Đang theo dõi"))))</f>
      </c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ht="14.25" customHeight="1" spans="1:26" x14ac:dyDescent="0.25">
      <c r="A126" s="66">
        <f t="shared" si="0"/>
      </c>
      <c r="B126" s="61"/>
      <c r="C126" s="66">
        <f t="array" ref="C126">IF(B126="","",IFERROR(INDEX('01_UngVien_PhongVan'!$D:$D,MATCH(B126,'01_UngVien_PhongVan'!$B:$B,0)),"Không tìm thấy mã ứng viên"))</f>
      </c>
      <c r="D126" s="67">
        <f t="array" ref="D126">IF(B126="","",IFERROR(INDEX('01_UngVien_PhongVan'!$AZ:$AZ,MATCH(B126,'01_UngVien_PhongVan'!$B:$B,0)),""))</f>
      </c>
      <c r="E126" s="68"/>
      <c r="F126" s="66">
        <f t="shared" si="1"/>
      </c>
      <c r="G126" s="67">
        <f t="shared" si="2"/>
      </c>
      <c r="H126" s="61"/>
      <c r="I126" s="61"/>
      <c r="J126" s="66">
        <f t="shared" si="3"/>
      </c>
      <c r="K126" s="61"/>
      <c r="L126" s="66">
        <f>IF(D126="","",IF(AND(MONTH(D126)='04_DS_Nhan_Viec_Trong_Thang'!$C$2,YEAR(D126)='04_DS_Nhan_Viec_Trong_Thang'!$E$2),SUMPRODUCT(($D$2:D126&lt;&gt;"")*(MONTH($D$2:D126)='04_DS_Nhan_Viec_Trong_Thang'!$C$2)*(YEAR($D$2:D126)='04_DS_Nhan_Viec_Trong_Thang'!$E$2)),""))</f>
      </c>
      <c r="M126" s="65">
        <f t="shared" si="4"/>
      </c>
      <c r="N126" s="61">
        <f t="array" ref="N126">IF($B126="","",IF($J126="","Đang theo dõi",IF(OR(IFERROR(INDEX('05_Theo_Doi_Gio_Cong_7_Ngay'!$R:$R,MATCH($J126,'05_Theo_Doi_Gio_Cong_7_Ngay'!$B:$B,0)),"")="",IFERROR(INDEX('05_Theo_Doi_Gio_Cong_7_Ngay'!$R:$R,MATCH($J126,'05_Theo_Doi_Gio_Cong_7_Ngay'!$B:$B,0)),0)=0),"Đang theo dõi",IFERROR(INDEX('06_DS_Chinh_Thuc'!$K:$K,MATCH(IFERROR(INDEX('05_Theo_Doi_Gio_Cong_7_Ngay'!$R:$R,MATCH($J126,'05_Theo_Doi_Gio_Cong_7_Ngay'!$B:$B,0)),0),'06_DS_Chinh_Thuc'!$B:$B,0)),"Đang theo dõi"))))</f>
      </c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ht="14.25" customHeight="1" spans="1:26" x14ac:dyDescent="0.25">
      <c r="A127" s="66">
        <f t="shared" si="0"/>
      </c>
      <c r="B127" s="61"/>
      <c r="C127" s="66">
        <f t="array" ref="C127">IF(B127="","",IFERROR(INDEX('01_UngVien_PhongVan'!$D:$D,MATCH(B127,'01_UngVien_PhongVan'!$B:$B,0)),"Không tìm thấy mã ứng viên"))</f>
      </c>
      <c r="D127" s="67">
        <f t="array" ref="D127">IF(B127="","",IFERROR(INDEX('01_UngVien_PhongVan'!$AZ:$AZ,MATCH(B127,'01_UngVien_PhongVan'!$B:$B,0)),""))</f>
      </c>
      <c r="E127" s="68"/>
      <c r="F127" s="66">
        <f t="shared" si="1"/>
      </c>
      <c r="G127" s="67">
        <f t="shared" si="2"/>
      </c>
      <c r="H127" s="61"/>
      <c r="I127" s="61"/>
      <c r="J127" s="66">
        <f t="shared" si="3"/>
      </c>
      <c r="K127" s="61"/>
      <c r="L127" s="66">
        <f>IF(D127="","",IF(AND(MONTH(D127)='04_DS_Nhan_Viec_Trong_Thang'!$C$2,YEAR(D127)='04_DS_Nhan_Viec_Trong_Thang'!$E$2),SUMPRODUCT(($D$2:D127&lt;&gt;"")*(MONTH($D$2:D127)='04_DS_Nhan_Viec_Trong_Thang'!$C$2)*(YEAR($D$2:D127)='04_DS_Nhan_Viec_Trong_Thang'!$E$2)),""))</f>
      </c>
      <c r="M127" s="65">
        <f t="shared" si="4"/>
      </c>
      <c r="N127" s="61">
        <f t="array" ref="N127">IF($B127="","",IF($J127="","Đang theo dõi",IF(OR(IFERROR(INDEX('05_Theo_Doi_Gio_Cong_7_Ngay'!$R:$R,MATCH($J127,'05_Theo_Doi_Gio_Cong_7_Ngay'!$B:$B,0)),"")="",IFERROR(INDEX('05_Theo_Doi_Gio_Cong_7_Ngay'!$R:$R,MATCH($J127,'05_Theo_Doi_Gio_Cong_7_Ngay'!$B:$B,0)),0)=0),"Đang theo dõi",IFERROR(INDEX('06_DS_Chinh_Thuc'!$K:$K,MATCH(IFERROR(INDEX('05_Theo_Doi_Gio_Cong_7_Ngay'!$R:$R,MATCH($J127,'05_Theo_Doi_Gio_Cong_7_Ngay'!$B:$B,0)),0),'06_DS_Chinh_Thuc'!$B:$B,0)),"Đang theo dõi"))))</f>
      </c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ht="14.25" customHeight="1" spans="1:26" x14ac:dyDescent="0.25">
      <c r="A128" s="66">
        <f t="shared" si="0"/>
      </c>
      <c r="B128" s="61"/>
      <c r="C128" s="66">
        <f t="array" ref="C128">IF(B128="","",IFERROR(INDEX('01_UngVien_PhongVan'!$D:$D,MATCH(B128,'01_UngVien_PhongVan'!$B:$B,0)),"Không tìm thấy mã ứng viên"))</f>
      </c>
      <c r="D128" s="67">
        <f t="array" ref="D128">IF(B128="","",IFERROR(INDEX('01_UngVien_PhongVan'!$AZ:$AZ,MATCH(B128,'01_UngVien_PhongVan'!$B:$B,0)),""))</f>
      </c>
      <c r="E128" s="68"/>
      <c r="F128" s="66">
        <f t="shared" si="1"/>
      </c>
      <c r="G128" s="67">
        <f t="shared" si="2"/>
      </c>
      <c r="H128" s="61"/>
      <c r="I128" s="61"/>
      <c r="J128" s="66">
        <f t="shared" si="3"/>
      </c>
      <c r="K128" s="61"/>
      <c r="L128" s="66">
        <f>IF(D128="","",IF(AND(MONTH(D128)='04_DS_Nhan_Viec_Trong_Thang'!$C$2,YEAR(D128)='04_DS_Nhan_Viec_Trong_Thang'!$E$2),SUMPRODUCT(($D$2:D128&lt;&gt;"")*(MONTH($D$2:D128)='04_DS_Nhan_Viec_Trong_Thang'!$C$2)*(YEAR($D$2:D128)='04_DS_Nhan_Viec_Trong_Thang'!$E$2)),""))</f>
      </c>
      <c r="M128" s="65">
        <f t="shared" si="4"/>
      </c>
      <c r="N128" s="61">
        <f t="array" ref="N128">IF($B128="","",IF($J128="","Đang theo dõi",IF(OR(IFERROR(INDEX('05_Theo_Doi_Gio_Cong_7_Ngay'!$R:$R,MATCH($J128,'05_Theo_Doi_Gio_Cong_7_Ngay'!$B:$B,0)),"")="",IFERROR(INDEX('05_Theo_Doi_Gio_Cong_7_Ngay'!$R:$R,MATCH($J128,'05_Theo_Doi_Gio_Cong_7_Ngay'!$B:$B,0)),0)=0),"Đang theo dõi",IFERROR(INDEX('06_DS_Chinh_Thuc'!$K:$K,MATCH(IFERROR(INDEX('05_Theo_Doi_Gio_Cong_7_Ngay'!$R:$R,MATCH($J128,'05_Theo_Doi_Gio_Cong_7_Ngay'!$B:$B,0)),0),'06_DS_Chinh_Thuc'!$B:$B,0)),"Đang theo dõi"))))</f>
      </c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ht="14.25" customHeight="1" spans="1:26" x14ac:dyDescent="0.25">
      <c r="A129" s="66">
        <f t="shared" si="0"/>
      </c>
      <c r="B129" s="61"/>
      <c r="C129" s="66">
        <f t="array" ref="C129">IF(B129="","",IFERROR(INDEX('01_UngVien_PhongVan'!$D:$D,MATCH(B129,'01_UngVien_PhongVan'!$B:$B,0)),"Không tìm thấy mã ứng viên"))</f>
      </c>
      <c r="D129" s="67">
        <f t="array" ref="D129">IF(B129="","",IFERROR(INDEX('01_UngVien_PhongVan'!$AZ:$AZ,MATCH(B129,'01_UngVien_PhongVan'!$B:$B,0)),""))</f>
      </c>
      <c r="E129" s="68"/>
      <c r="F129" s="66">
        <f t="shared" si="1"/>
      </c>
      <c r="G129" s="67">
        <f t="shared" si="2"/>
      </c>
      <c r="H129" s="61"/>
      <c r="I129" s="61"/>
      <c r="J129" s="66">
        <f t="shared" si="3"/>
      </c>
      <c r="K129" s="61"/>
      <c r="L129" s="66">
        <f>IF(D129="","",IF(AND(MONTH(D129)='04_DS_Nhan_Viec_Trong_Thang'!$C$2,YEAR(D129)='04_DS_Nhan_Viec_Trong_Thang'!$E$2),SUMPRODUCT(($D$2:D129&lt;&gt;"")*(MONTH($D$2:D129)='04_DS_Nhan_Viec_Trong_Thang'!$C$2)*(YEAR($D$2:D129)='04_DS_Nhan_Viec_Trong_Thang'!$E$2)),""))</f>
      </c>
      <c r="M129" s="65">
        <f t="shared" si="4"/>
      </c>
      <c r="N129" s="61">
        <f t="array" ref="N129">IF($B129="","",IF($J129="","Đang theo dõi",IF(OR(IFERROR(INDEX('05_Theo_Doi_Gio_Cong_7_Ngay'!$R:$R,MATCH($J129,'05_Theo_Doi_Gio_Cong_7_Ngay'!$B:$B,0)),"")="",IFERROR(INDEX('05_Theo_Doi_Gio_Cong_7_Ngay'!$R:$R,MATCH($J129,'05_Theo_Doi_Gio_Cong_7_Ngay'!$B:$B,0)),0)=0),"Đang theo dõi",IFERROR(INDEX('06_DS_Chinh_Thuc'!$K:$K,MATCH(IFERROR(INDEX('05_Theo_Doi_Gio_Cong_7_Ngay'!$R:$R,MATCH($J129,'05_Theo_Doi_Gio_Cong_7_Ngay'!$B:$B,0)),0),'06_DS_Chinh_Thuc'!$B:$B,0)),"Đang theo dõi"))))</f>
      </c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ht="14.25" customHeight="1" spans="1:26" x14ac:dyDescent="0.25">
      <c r="A130" s="66">
        <f t="shared" si="0"/>
      </c>
      <c r="B130" s="61"/>
      <c r="C130" s="66">
        <f t="array" ref="C130">IF(B130="","",IFERROR(INDEX('01_UngVien_PhongVan'!$D:$D,MATCH(B130,'01_UngVien_PhongVan'!$B:$B,0)),"Không tìm thấy mã ứng viên"))</f>
      </c>
      <c r="D130" s="67">
        <f t="array" ref="D130">IF(B130="","",IFERROR(INDEX('01_UngVien_PhongVan'!$AZ:$AZ,MATCH(B130,'01_UngVien_PhongVan'!$B:$B,0)),""))</f>
      </c>
      <c r="E130" s="68"/>
      <c r="F130" s="66">
        <f t="shared" si="1"/>
      </c>
      <c r="G130" s="67">
        <f t="shared" si="2"/>
      </c>
      <c r="H130" s="61"/>
      <c r="I130" s="61"/>
      <c r="J130" s="66">
        <f t="shared" si="3"/>
      </c>
      <c r="K130" s="61"/>
      <c r="L130" s="66">
        <f>IF(D130="","",IF(AND(MONTH(D130)='04_DS_Nhan_Viec_Trong_Thang'!$C$2,YEAR(D130)='04_DS_Nhan_Viec_Trong_Thang'!$E$2),SUMPRODUCT(($D$2:D130&lt;&gt;"")*(MONTH($D$2:D130)='04_DS_Nhan_Viec_Trong_Thang'!$C$2)*(YEAR($D$2:D130)='04_DS_Nhan_Viec_Trong_Thang'!$E$2)),""))</f>
      </c>
      <c r="M130" s="65">
        <f t="shared" si="4"/>
      </c>
      <c r="N130" s="61">
        <f t="array" ref="N130">IF($B130="","",IF($J130="","Đang theo dõi",IF(OR(IFERROR(INDEX('05_Theo_Doi_Gio_Cong_7_Ngay'!$R:$R,MATCH($J130,'05_Theo_Doi_Gio_Cong_7_Ngay'!$B:$B,0)),"")="",IFERROR(INDEX('05_Theo_Doi_Gio_Cong_7_Ngay'!$R:$R,MATCH($J130,'05_Theo_Doi_Gio_Cong_7_Ngay'!$B:$B,0)),0)=0),"Đang theo dõi",IFERROR(INDEX('06_DS_Chinh_Thuc'!$K:$K,MATCH(IFERROR(INDEX('05_Theo_Doi_Gio_Cong_7_Ngay'!$R:$R,MATCH($J130,'05_Theo_Doi_Gio_Cong_7_Ngay'!$B:$B,0)),0),'06_DS_Chinh_Thuc'!$B:$B,0)),"Đang theo dõi"))))</f>
      </c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ht="14.25" customHeight="1" spans="1:26" x14ac:dyDescent="0.25">
      <c r="A131" s="66">
        <f t="shared" si="0"/>
      </c>
      <c r="B131" s="61"/>
      <c r="C131" s="66">
        <f t="array" ref="C131">IF(B131="","",IFERROR(INDEX('01_UngVien_PhongVan'!$D:$D,MATCH(B131,'01_UngVien_PhongVan'!$B:$B,0)),"Không tìm thấy mã ứng viên"))</f>
      </c>
      <c r="D131" s="67">
        <f t="array" ref="D131">IF(B131="","",IFERROR(INDEX('01_UngVien_PhongVan'!$AZ:$AZ,MATCH(B131,'01_UngVien_PhongVan'!$B:$B,0)),""))</f>
      </c>
      <c r="E131" s="68"/>
      <c r="F131" s="66">
        <f t="shared" si="1"/>
      </c>
      <c r="G131" s="67">
        <f t="shared" si="2"/>
      </c>
      <c r="H131" s="61"/>
      <c r="I131" s="61"/>
      <c r="J131" s="66">
        <f t="shared" si="3"/>
      </c>
      <c r="K131" s="61"/>
      <c r="L131" s="66">
        <f>IF(D131="","",IF(AND(MONTH(D131)='04_DS_Nhan_Viec_Trong_Thang'!$C$2,YEAR(D131)='04_DS_Nhan_Viec_Trong_Thang'!$E$2),SUMPRODUCT(($D$2:D131&lt;&gt;"")*(MONTH($D$2:D131)='04_DS_Nhan_Viec_Trong_Thang'!$C$2)*(YEAR($D$2:D131)='04_DS_Nhan_Viec_Trong_Thang'!$E$2)),""))</f>
      </c>
      <c r="M131" s="65">
        <f t="shared" si="4"/>
      </c>
      <c r="N131" s="61">
        <f t="array" ref="N131">IF($B131="","",IF($J131="","Đang theo dõi",IF(OR(IFERROR(INDEX('05_Theo_Doi_Gio_Cong_7_Ngay'!$R:$R,MATCH($J131,'05_Theo_Doi_Gio_Cong_7_Ngay'!$B:$B,0)),"")="",IFERROR(INDEX('05_Theo_Doi_Gio_Cong_7_Ngay'!$R:$R,MATCH($J131,'05_Theo_Doi_Gio_Cong_7_Ngay'!$B:$B,0)),0)=0),"Đang theo dõi",IFERROR(INDEX('06_DS_Chinh_Thuc'!$K:$K,MATCH(IFERROR(INDEX('05_Theo_Doi_Gio_Cong_7_Ngay'!$R:$R,MATCH($J131,'05_Theo_Doi_Gio_Cong_7_Ngay'!$B:$B,0)),0),'06_DS_Chinh_Thuc'!$B:$B,0)),"Đang theo dõi"))))</f>
      </c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ht="14.25" customHeight="1" spans="1:26" x14ac:dyDescent="0.25">
      <c r="A132" s="66">
        <f t="shared" si="0"/>
      </c>
      <c r="B132" s="61"/>
      <c r="C132" s="66">
        <f t="array" ref="C132">IF(B132="","",IFERROR(INDEX('01_UngVien_PhongVan'!$D:$D,MATCH(B132,'01_UngVien_PhongVan'!$B:$B,0)),"Không tìm thấy mã ứng viên"))</f>
      </c>
      <c r="D132" s="67">
        <f t="array" ref="D132">IF(B132="","",IFERROR(INDEX('01_UngVien_PhongVan'!$AZ:$AZ,MATCH(B132,'01_UngVien_PhongVan'!$B:$B,0)),""))</f>
      </c>
      <c r="E132" s="68"/>
      <c r="F132" s="66">
        <f t="shared" si="1"/>
      </c>
      <c r="G132" s="67">
        <f t="shared" si="2"/>
      </c>
      <c r="H132" s="61"/>
      <c r="I132" s="61"/>
      <c r="J132" s="66">
        <f t="shared" si="3"/>
      </c>
      <c r="K132" s="61"/>
      <c r="L132" s="66">
        <f>IF(D132="","",IF(AND(MONTH(D132)='04_DS_Nhan_Viec_Trong_Thang'!$C$2,YEAR(D132)='04_DS_Nhan_Viec_Trong_Thang'!$E$2),SUMPRODUCT(($D$2:D132&lt;&gt;"")*(MONTH($D$2:D132)='04_DS_Nhan_Viec_Trong_Thang'!$C$2)*(YEAR($D$2:D132)='04_DS_Nhan_Viec_Trong_Thang'!$E$2)),""))</f>
      </c>
      <c r="M132" s="65">
        <f t="shared" si="4"/>
      </c>
      <c r="N132" s="61">
        <f t="array" ref="N132">IF($B132="","",IF($J132="","Đang theo dõi",IF(OR(IFERROR(INDEX('05_Theo_Doi_Gio_Cong_7_Ngay'!$R:$R,MATCH($J132,'05_Theo_Doi_Gio_Cong_7_Ngay'!$B:$B,0)),"")="",IFERROR(INDEX('05_Theo_Doi_Gio_Cong_7_Ngay'!$R:$R,MATCH($J132,'05_Theo_Doi_Gio_Cong_7_Ngay'!$B:$B,0)),0)=0),"Đang theo dõi",IFERROR(INDEX('06_DS_Chinh_Thuc'!$K:$K,MATCH(IFERROR(INDEX('05_Theo_Doi_Gio_Cong_7_Ngay'!$R:$R,MATCH($J132,'05_Theo_Doi_Gio_Cong_7_Ngay'!$B:$B,0)),0),'06_DS_Chinh_Thuc'!$B:$B,0)),"Đang theo dõi"))))</f>
      </c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ht="14.25" customHeight="1" spans="1:26" x14ac:dyDescent="0.25">
      <c r="A133" s="66">
        <f t="shared" si="0"/>
      </c>
      <c r="B133" s="61"/>
      <c r="C133" s="66">
        <f t="array" ref="C133">IF(B133="","",IFERROR(INDEX('01_UngVien_PhongVan'!$D:$D,MATCH(B133,'01_UngVien_PhongVan'!$B:$B,0)),"Không tìm thấy mã ứng viên"))</f>
      </c>
      <c r="D133" s="67">
        <f t="array" ref="D133">IF(B133="","",IFERROR(INDEX('01_UngVien_PhongVan'!$AZ:$AZ,MATCH(B133,'01_UngVien_PhongVan'!$B:$B,0)),""))</f>
      </c>
      <c r="E133" s="68"/>
      <c r="F133" s="66">
        <f t="shared" si="1"/>
      </c>
      <c r="G133" s="67">
        <f t="shared" si="2"/>
      </c>
      <c r="H133" s="61"/>
      <c r="I133" s="61"/>
      <c r="J133" s="66">
        <f t="shared" si="3"/>
      </c>
      <c r="K133" s="61"/>
      <c r="L133" s="66">
        <f>IF(D133="","",IF(AND(MONTH(D133)='04_DS_Nhan_Viec_Trong_Thang'!$C$2,YEAR(D133)='04_DS_Nhan_Viec_Trong_Thang'!$E$2),SUMPRODUCT(($D$2:D133&lt;&gt;"")*(MONTH($D$2:D133)='04_DS_Nhan_Viec_Trong_Thang'!$C$2)*(YEAR($D$2:D133)='04_DS_Nhan_Viec_Trong_Thang'!$E$2)),""))</f>
      </c>
      <c r="M133" s="65">
        <f t="shared" si="4"/>
      </c>
      <c r="N133" s="61">
        <f t="array" ref="N133">IF($B133="","",IF($J133="","Đang theo dõi",IF(OR(IFERROR(INDEX('05_Theo_Doi_Gio_Cong_7_Ngay'!$R:$R,MATCH($J133,'05_Theo_Doi_Gio_Cong_7_Ngay'!$B:$B,0)),"")="",IFERROR(INDEX('05_Theo_Doi_Gio_Cong_7_Ngay'!$R:$R,MATCH($J133,'05_Theo_Doi_Gio_Cong_7_Ngay'!$B:$B,0)),0)=0),"Đang theo dõi",IFERROR(INDEX('06_DS_Chinh_Thuc'!$K:$K,MATCH(IFERROR(INDEX('05_Theo_Doi_Gio_Cong_7_Ngay'!$R:$R,MATCH($J133,'05_Theo_Doi_Gio_Cong_7_Ngay'!$B:$B,0)),0),'06_DS_Chinh_Thuc'!$B:$B,0)),"Đang theo dõi"))))</f>
      </c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ht="14.25" customHeight="1" spans="1:26" x14ac:dyDescent="0.25">
      <c r="A134" s="66">
        <f t="shared" si="0"/>
      </c>
      <c r="B134" s="61"/>
      <c r="C134" s="66">
        <f t="array" ref="C134">IF(B134="","",IFERROR(INDEX('01_UngVien_PhongVan'!$D:$D,MATCH(B134,'01_UngVien_PhongVan'!$B:$B,0)),"Không tìm thấy mã ứng viên"))</f>
      </c>
      <c r="D134" s="67">
        <f t="array" ref="D134">IF(B134="","",IFERROR(INDEX('01_UngVien_PhongVan'!$AZ:$AZ,MATCH(B134,'01_UngVien_PhongVan'!$B:$B,0)),""))</f>
      </c>
      <c r="E134" s="68"/>
      <c r="F134" s="66">
        <f t="shared" si="1"/>
      </c>
      <c r="G134" s="67">
        <f t="shared" si="2"/>
      </c>
      <c r="H134" s="61"/>
      <c r="I134" s="61"/>
      <c r="J134" s="66">
        <f t="shared" si="3"/>
      </c>
      <c r="K134" s="61"/>
      <c r="L134" s="66">
        <f>IF(D134="","",IF(AND(MONTH(D134)='04_DS_Nhan_Viec_Trong_Thang'!$C$2,YEAR(D134)='04_DS_Nhan_Viec_Trong_Thang'!$E$2),SUMPRODUCT(($D$2:D134&lt;&gt;"")*(MONTH($D$2:D134)='04_DS_Nhan_Viec_Trong_Thang'!$C$2)*(YEAR($D$2:D134)='04_DS_Nhan_Viec_Trong_Thang'!$E$2)),""))</f>
      </c>
      <c r="M134" s="65">
        <f t="shared" si="4"/>
      </c>
      <c r="N134" s="61">
        <f t="array" ref="N134">IF($B134="","",IF($J134="","Đang theo dõi",IF(OR(IFERROR(INDEX('05_Theo_Doi_Gio_Cong_7_Ngay'!$R:$R,MATCH($J134,'05_Theo_Doi_Gio_Cong_7_Ngay'!$B:$B,0)),"")="",IFERROR(INDEX('05_Theo_Doi_Gio_Cong_7_Ngay'!$R:$R,MATCH($J134,'05_Theo_Doi_Gio_Cong_7_Ngay'!$B:$B,0)),0)=0),"Đang theo dõi",IFERROR(INDEX('06_DS_Chinh_Thuc'!$K:$K,MATCH(IFERROR(INDEX('05_Theo_Doi_Gio_Cong_7_Ngay'!$R:$R,MATCH($J134,'05_Theo_Doi_Gio_Cong_7_Ngay'!$B:$B,0)),0),'06_DS_Chinh_Thuc'!$B:$B,0)),"Đang theo dõi"))))</f>
      </c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ht="14.25" customHeight="1" spans="1:26" x14ac:dyDescent="0.25">
      <c r="A135" s="66">
        <f t="shared" si="0"/>
      </c>
      <c r="B135" s="61"/>
      <c r="C135" s="66">
        <f t="array" ref="C135">IF(B135="","",IFERROR(INDEX('01_UngVien_PhongVan'!$D:$D,MATCH(B135,'01_UngVien_PhongVan'!$B:$B,0)),"Không tìm thấy mã ứng viên"))</f>
      </c>
      <c r="D135" s="67">
        <f t="array" ref="D135">IF(B135="","",IFERROR(INDEX('01_UngVien_PhongVan'!$AZ:$AZ,MATCH(B135,'01_UngVien_PhongVan'!$B:$B,0)),""))</f>
      </c>
      <c r="E135" s="68"/>
      <c r="F135" s="66">
        <f t="shared" si="1"/>
      </c>
      <c r="G135" s="67">
        <f t="shared" si="2"/>
      </c>
      <c r="H135" s="61"/>
      <c r="I135" s="61"/>
      <c r="J135" s="66">
        <f t="shared" si="3"/>
      </c>
      <c r="K135" s="61"/>
      <c r="L135" s="66">
        <f>IF(D135="","",IF(AND(MONTH(D135)='04_DS_Nhan_Viec_Trong_Thang'!$C$2,YEAR(D135)='04_DS_Nhan_Viec_Trong_Thang'!$E$2),SUMPRODUCT(($D$2:D135&lt;&gt;"")*(MONTH($D$2:D135)='04_DS_Nhan_Viec_Trong_Thang'!$C$2)*(YEAR($D$2:D135)='04_DS_Nhan_Viec_Trong_Thang'!$E$2)),""))</f>
      </c>
      <c r="M135" s="65">
        <f t="shared" si="4"/>
      </c>
      <c r="N135" s="61">
        <f t="array" ref="N135">IF($B135="","",IF($J135="","Đang theo dõi",IF(OR(IFERROR(INDEX('05_Theo_Doi_Gio_Cong_7_Ngay'!$R:$R,MATCH($J135,'05_Theo_Doi_Gio_Cong_7_Ngay'!$B:$B,0)),"")="",IFERROR(INDEX('05_Theo_Doi_Gio_Cong_7_Ngay'!$R:$R,MATCH($J135,'05_Theo_Doi_Gio_Cong_7_Ngay'!$B:$B,0)),0)=0),"Đang theo dõi",IFERROR(INDEX('06_DS_Chinh_Thuc'!$K:$K,MATCH(IFERROR(INDEX('05_Theo_Doi_Gio_Cong_7_Ngay'!$R:$R,MATCH($J135,'05_Theo_Doi_Gio_Cong_7_Ngay'!$B:$B,0)),0),'06_DS_Chinh_Thuc'!$B:$B,0)),"Đang theo dõi"))))</f>
      </c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ht="14.25" customHeight="1" spans="1:26" x14ac:dyDescent="0.25">
      <c r="A136" s="66">
        <f t="shared" si="0"/>
      </c>
      <c r="B136" s="61"/>
      <c r="C136" s="66">
        <f t="array" ref="C136">IF(B136="","",IFERROR(INDEX('01_UngVien_PhongVan'!$D:$D,MATCH(B136,'01_UngVien_PhongVan'!$B:$B,0)),"Không tìm thấy mã ứng viên"))</f>
      </c>
      <c r="D136" s="67">
        <f t="array" ref="D136">IF(B136="","",IFERROR(INDEX('01_UngVien_PhongVan'!$AZ:$AZ,MATCH(B136,'01_UngVien_PhongVan'!$B:$B,0)),""))</f>
      </c>
      <c r="E136" s="68"/>
      <c r="F136" s="66">
        <f t="shared" si="1"/>
      </c>
      <c r="G136" s="67">
        <f t="shared" si="2"/>
      </c>
      <c r="H136" s="61"/>
      <c r="I136" s="61"/>
      <c r="J136" s="66">
        <f t="shared" si="3"/>
      </c>
      <c r="K136" s="61"/>
      <c r="L136" s="66">
        <f>IF(D136="","",IF(AND(MONTH(D136)='04_DS_Nhan_Viec_Trong_Thang'!$C$2,YEAR(D136)='04_DS_Nhan_Viec_Trong_Thang'!$E$2),SUMPRODUCT(($D$2:D136&lt;&gt;"")*(MONTH($D$2:D136)='04_DS_Nhan_Viec_Trong_Thang'!$C$2)*(YEAR($D$2:D136)='04_DS_Nhan_Viec_Trong_Thang'!$E$2)),""))</f>
      </c>
      <c r="M136" s="65">
        <f t="shared" si="4"/>
      </c>
      <c r="N136" s="61">
        <f t="array" ref="N136">IF($B136="","",IF($J136="","Đang theo dõi",IF(OR(IFERROR(INDEX('05_Theo_Doi_Gio_Cong_7_Ngay'!$R:$R,MATCH($J136,'05_Theo_Doi_Gio_Cong_7_Ngay'!$B:$B,0)),"")="",IFERROR(INDEX('05_Theo_Doi_Gio_Cong_7_Ngay'!$R:$R,MATCH($J136,'05_Theo_Doi_Gio_Cong_7_Ngay'!$B:$B,0)),0)=0),"Đang theo dõi",IFERROR(INDEX('06_DS_Chinh_Thuc'!$K:$K,MATCH(IFERROR(INDEX('05_Theo_Doi_Gio_Cong_7_Ngay'!$R:$R,MATCH($J136,'05_Theo_Doi_Gio_Cong_7_Ngay'!$B:$B,0)),0),'06_DS_Chinh_Thuc'!$B:$B,0)),"Đang theo dõi"))))</f>
      </c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ht="14.25" customHeight="1" spans="1:26" x14ac:dyDescent="0.25">
      <c r="A137" s="66">
        <f t="shared" si="0"/>
      </c>
      <c r="B137" s="61"/>
      <c r="C137" s="66">
        <f t="array" ref="C137">IF(B137="","",IFERROR(INDEX('01_UngVien_PhongVan'!$D:$D,MATCH(B137,'01_UngVien_PhongVan'!$B:$B,0)),"Không tìm thấy mã ứng viên"))</f>
      </c>
      <c r="D137" s="67">
        <f t="array" ref="D137">IF(B137="","",IFERROR(INDEX('01_UngVien_PhongVan'!$AZ:$AZ,MATCH(B137,'01_UngVien_PhongVan'!$B:$B,0)),""))</f>
      </c>
      <c r="E137" s="68"/>
      <c r="F137" s="66">
        <f t="shared" si="1"/>
      </c>
      <c r="G137" s="67">
        <f t="shared" si="2"/>
      </c>
      <c r="H137" s="61"/>
      <c r="I137" s="61"/>
      <c r="J137" s="66">
        <f t="shared" si="3"/>
      </c>
      <c r="K137" s="61"/>
      <c r="L137" s="66">
        <f>IF(D137="","",IF(AND(MONTH(D137)='04_DS_Nhan_Viec_Trong_Thang'!$C$2,YEAR(D137)='04_DS_Nhan_Viec_Trong_Thang'!$E$2),SUMPRODUCT(($D$2:D137&lt;&gt;"")*(MONTH($D$2:D137)='04_DS_Nhan_Viec_Trong_Thang'!$C$2)*(YEAR($D$2:D137)='04_DS_Nhan_Viec_Trong_Thang'!$E$2)),""))</f>
      </c>
      <c r="M137" s="65">
        <f t="shared" si="4"/>
      </c>
      <c r="N137" s="61">
        <f t="array" ref="N137">IF($B137="","",IF($J137="","Đang theo dõi",IF(OR(IFERROR(INDEX('05_Theo_Doi_Gio_Cong_7_Ngay'!$R:$R,MATCH($J137,'05_Theo_Doi_Gio_Cong_7_Ngay'!$B:$B,0)),"")="",IFERROR(INDEX('05_Theo_Doi_Gio_Cong_7_Ngay'!$R:$R,MATCH($J137,'05_Theo_Doi_Gio_Cong_7_Ngay'!$B:$B,0)),0)=0),"Đang theo dõi",IFERROR(INDEX('06_DS_Chinh_Thuc'!$K:$K,MATCH(IFERROR(INDEX('05_Theo_Doi_Gio_Cong_7_Ngay'!$R:$R,MATCH($J137,'05_Theo_Doi_Gio_Cong_7_Ngay'!$B:$B,0)),0),'06_DS_Chinh_Thuc'!$B:$B,0)),"Đang theo dõi"))))</f>
      </c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ht="14.25" customHeight="1" spans="1:26" x14ac:dyDescent="0.25">
      <c r="A138" s="66">
        <f t="shared" si="0"/>
      </c>
      <c r="B138" s="61"/>
      <c r="C138" s="66">
        <f t="array" ref="C138">IF(B138="","",IFERROR(INDEX('01_UngVien_PhongVan'!$D:$D,MATCH(B138,'01_UngVien_PhongVan'!$B:$B,0)),"Không tìm thấy mã ứng viên"))</f>
      </c>
      <c r="D138" s="67">
        <f t="array" ref="D138">IF(B138="","",IFERROR(INDEX('01_UngVien_PhongVan'!$AZ:$AZ,MATCH(B138,'01_UngVien_PhongVan'!$B:$B,0)),""))</f>
      </c>
      <c r="E138" s="68"/>
      <c r="F138" s="66">
        <f t="shared" si="1"/>
      </c>
      <c r="G138" s="67">
        <f t="shared" si="2"/>
      </c>
      <c r="H138" s="61"/>
      <c r="I138" s="61"/>
      <c r="J138" s="66">
        <f t="shared" si="3"/>
      </c>
      <c r="K138" s="61"/>
      <c r="L138" s="66">
        <f>IF(D138="","",IF(AND(MONTH(D138)='04_DS_Nhan_Viec_Trong_Thang'!$C$2,YEAR(D138)='04_DS_Nhan_Viec_Trong_Thang'!$E$2),SUMPRODUCT(($D$2:D138&lt;&gt;"")*(MONTH($D$2:D138)='04_DS_Nhan_Viec_Trong_Thang'!$C$2)*(YEAR($D$2:D138)='04_DS_Nhan_Viec_Trong_Thang'!$E$2)),""))</f>
      </c>
      <c r="M138" s="65">
        <f t="shared" si="4"/>
      </c>
      <c r="N138" s="61">
        <f t="array" ref="N138">IF($B138="","",IF($J138="","Đang theo dõi",IF(OR(IFERROR(INDEX('05_Theo_Doi_Gio_Cong_7_Ngay'!$R:$R,MATCH($J138,'05_Theo_Doi_Gio_Cong_7_Ngay'!$B:$B,0)),"")="",IFERROR(INDEX('05_Theo_Doi_Gio_Cong_7_Ngay'!$R:$R,MATCH($J138,'05_Theo_Doi_Gio_Cong_7_Ngay'!$B:$B,0)),0)=0),"Đang theo dõi",IFERROR(INDEX('06_DS_Chinh_Thuc'!$K:$K,MATCH(IFERROR(INDEX('05_Theo_Doi_Gio_Cong_7_Ngay'!$R:$R,MATCH($J138,'05_Theo_Doi_Gio_Cong_7_Ngay'!$B:$B,0)),0),'06_DS_Chinh_Thuc'!$B:$B,0)),"Đang theo dõi"))))</f>
      </c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ht="14.25" customHeight="1" spans="1:26" x14ac:dyDescent="0.25">
      <c r="A139" s="66">
        <f t="shared" si="0"/>
      </c>
      <c r="B139" s="61"/>
      <c r="C139" s="66">
        <f t="array" ref="C139">IF(B139="","",IFERROR(INDEX('01_UngVien_PhongVan'!$D:$D,MATCH(B139,'01_UngVien_PhongVan'!$B:$B,0)),"Không tìm thấy mã ứng viên"))</f>
      </c>
      <c r="D139" s="67">
        <f t="array" ref="D139">IF(B139="","",IFERROR(INDEX('01_UngVien_PhongVan'!$AZ:$AZ,MATCH(B139,'01_UngVien_PhongVan'!$B:$B,0)),""))</f>
      </c>
      <c r="E139" s="68"/>
      <c r="F139" s="66">
        <f t="shared" si="1"/>
      </c>
      <c r="G139" s="67">
        <f t="shared" si="2"/>
      </c>
      <c r="H139" s="61"/>
      <c r="I139" s="61"/>
      <c r="J139" s="66">
        <f t="shared" si="3"/>
      </c>
      <c r="K139" s="61"/>
      <c r="L139" s="66">
        <f>IF(D139="","",IF(AND(MONTH(D139)='04_DS_Nhan_Viec_Trong_Thang'!$C$2,YEAR(D139)='04_DS_Nhan_Viec_Trong_Thang'!$E$2),SUMPRODUCT(($D$2:D139&lt;&gt;"")*(MONTH($D$2:D139)='04_DS_Nhan_Viec_Trong_Thang'!$C$2)*(YEAR($D$2:D139)='04_DS_Nhan_Viec_Trong_Thang'!$E$2)),""))</f>
      </c>
      <c r="M139" s="65">
        <f t="shared" si="4"/>
      </c>
      <c r="N139" s="61">
        <f t="array" ref="N139">IF($B139="","",IF($J139="","Đang theo dõi",IF(OR(IFERROR(INDEX('05_Theo_Doi_Gio_Cong_7_Ngay'!$R:$R,MATCH($J139,'05_Theo_Doi_Gio_Cong_7_Ngay'!$B:$B,0)),"")="",IFERROR(INDEX('05_Theo_Doi_Gio_Cong_7_Ngay'!$R:$R,MATCH($J139,'05_Theo_Doi_Gio_Cong_7_Ngay'!$B:$B,0)),0)=0),"Đang theo dõi",IFERROR(INDEX('06_DS_Chinh_Thuc'!$K:$K,MATCH(IFERROR(INDEX('05_Theo_Doi_Gio_Cong_7_Ngay'!$R:$R,MATCH($J139,'05_Theo_Doi_Gio_Cong_7_Ngay'!$B:$B,0)),0),'06_DS_Chinh_Thuc'!$B:$B,0)),"Đang theo dõi"))))</f>
      </c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ht="14.25" customHeight="1" spans="1:26" x14ac:dyDescent="0.25">
      <c r="A140" s="66">
        <f t="shared" si="0"/>
      </c>
      <c r="B140" s="61"/>
      <c r="C140" s="66">
        <f t="array" ref="C140">IF(B140="","",IFERROR(INDEX('01_UngVien_PhongVan'!$D:$D,MATCH(B140,'01_UngVien_PhongVan'!$B:$B,0)),"Không tìm thấy mã ứng viên"))</f>
      </c>
      <c r="D140" s="67">
        <f t="array" ref="D140">IF(B140="","",IFERROR(INDEX('01_UngVien_PhongVan'!$AZ:$AZ,MATCH(B140,'01_UngVien_PhongVan'!$B:$B,0)),""))</f>
      </c>
      <c r="E140" s="68"/>
      <c r="F140" s="66">
        <f t="shared" si="1"/>
      </c>
      <c r="G140" s="67">
        <f t="shared" si="2"/>
      </c>
      <c r="H140" s="61"/>
      <c r="I140" s="61"/>
      <c r="J140" s="66">
        <f t="shared" si="3"/>
      </c>
      <c r="K140" s="61"/>
      <c r="L140" s="66">
        <f>IF(D140="","",IF(AND(MONTH(D140)='04_DS_Nhan_Viec_Trong_Thang'!$C$2,YEAR(D140)='04_DS_Nhan_Viec_Trong_Thang'!$E$2),SUMPRODUCT(($D$2:D140&lt;&gt;"")*(MONTH($D$2:D140)='04_DS_Nhan_Viec_Trong_Thang'!$C$2)*(YEAR($D$2:D140)='04_DS_Nhan_Viec_Trong_Thang'!$E$2)),""))</f>
      </c>
      <c r="M140" s="65">
        <f t="shared" si="4"/>
      </c>
      <c r="N140" s="61">
        <f t="array" ref="N140">IF($B140="","",IF($J140="","Đang theo dõi",IF(OR(IFERROR(INDEX('05_Theo_Doi_Gio_Cong_7_Ngay'!$R:$R,MATCH($J140,'05_Theo_Doi_Gio_Cong_7_Ngay'!$B:$B,0)),"")="",IFERROR(INDEX('05_Theo_Doi_Gio_Cong_7_Ngay'!$R:$R,MATCH($J140,'05_Theo_Doi_Gio_Cong_7_Ngay'!$B:$B,0)),0)=0),"Đang theo dõi",IFERROR(INDEX('06_DS_Chinh_Thuc'!$K:$K,MATCH(IFERROR(INDEX('05_Theo_Doi_Gio_Cong_7_Ngay'!$R:$R,MATCH($J140,'05_Theo_Doi_Gio_Cong_7_Ngay'!$B:$B,0)),0),'06_DS_Chinh_Thuc'!$B:$B,0)),"Đang theo dõi"))))</f>
      </c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ht="14.25" customHeight="1" spans="1:26" x14ac:dyDescent="0.25">
      <c r="A141" s="66">
        <f t="shared" si="0"/>
      </c>
      <c r="B141" s="61"/>
      <c r="C141" s="66">
        <f t="array" ref="C141">IF(B141="","",IFERROR(INDEX('01_UngVien_PhongVan'!$D:$D,MATCH(B141,'01_UngVien_PhongVan'!$B:$B,0)),"Không tìm thấy mã ứng viên"))</f>
      </c>
      <c r="D141" s="67">
        <f t="array" ref="D141">IF(B141="","",IFERROR(INDEX('01_UngVien_PhongVan'!$AZ:$AZ,MATCH(B141,'01_UngVien_PhongVan'!$B:$B,0)),""))</f>
      </c>
      <c r="E141" s="68"/>
      <c r="F141" s="66">
        <f t="shared" si="1"/>
      </c>
      <c r="G141" s="67">
        <f t="shared" si="2"/>
      </c>
      <c r="H141" s="61"/>
      <c r="I141" s="61"/>
      <c r="J141" s="66">
        <f t="shared" si="3"/>
      </c>
      <c r="K141" s="61"/>
      <c r="L141" s="66">
        <f>IF(D141="","",IF(AND(MONTH(D141)='04_DS_Nhan_Viec_Trong_Thang'!$C$2,YEAR(D141)='04_DS_Nhan_Viec_Trong_Thang'!$E$2),SUMPRODUCT(($D$2:D141&lt;&gt;"")*(MONTH($D$2:D141)='04_DS_Nhan_Viec_Trong_Thang'!$C$2)*(YEAR($D$2:D141)='04_DS_Nhan_Viec_Trong_Thang'!$E$2)),""))</f>
      </c>
      <c r="M141" s="65">
        <f t="shared" si="4"/>
      </c>
      <c r="N141" s="61">
        <f t="array" ref="N141">IF($B141="","",IF($J141="","Đang theo dõi",IF(OR(IFERROR(INDEX('05_Theo_Doi_Gio_Cong_7_Ngay'!$R:$R,MATCH($J141,'05_Theo_Doi_Gio_Cong_7_Ngay'!$B:$B,0)),"")="",IFERROR(INDEX('05_Theo_Doi_Gio_Cong_7_Ngay'!$R:$R,MATCH($J141,'05_Theo_Doi_Gio_Cong_7_Ngay'!$B:$B,0)),0)=0),"Đang theo dõi",IFERROR(INDEX('06_DS_Chinh_Thuc'!$K:$K,MATCH(IFERROR(INDEX('05_Theo_Doi_Gio_Cong_7_Ngay'!$R:$R,MATCH($J141,'05_Theo_Doi_Gio_Cong_7_Ngay'!$B:$B,0)),0),'06_DS_Chinh_Thuc'!$B:$B,0)),"Đang theo dõi"))))</f>
      </c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ht="14.25" customHeight="1" spans="1:26" x14ac:dyDescent="0.25">
      <c r="A142" s="66">
        <f t="shared" si="0"/>
      </c>
      <c r="B142" s="61"/>
      <c r="C142" s="66">
        <f t="array" ref="C142">IF(B142="","",IFERROR(INDEX('01_UngVien_PhongVan'!$D:$D,MATCH(B142,'01_UngVien_PhongVan'!$B:$B,0)),"Không tìm thấy mã ứng viên"))</f>
      </c>
      <c r="D142" s="67">
        <f t="array" ref="D142">IF(B142="","",IFERROR(INDEX('01_UngVien_PhongVan'!$AZ:$AZ,MATCH(B142,'01_UngVien_PhongVan'!$B:$B,0)),""))</f>
      </c>
      <c r="E142" s="68"/>
      <c r="F142" s="66">
        <f t="shared" si="1"/>
      </c>
      <c r="G142" s="67">
        <f t="shared" si="2"/>
      </c>
      <c r="H142" s="61"/>
      <c r="I142" s="61"/>
      <c r="J142" s="66">
        <f t="shared" si="3"/>
      </c>
      <c r="K142" s="61"/>
      <c r="L142" s="66">
        <f>IF(D142="","",IF(AND(MONTH(D142)='04_DS_Nhan_Viec_Trong_Thang'!$C$2,YEAR(D142)='04_DS_Nhan_Viec_Trong_Thang'!$E$2),SUMPRODUCT(($D$2:D142&lt;&gt;"")*(MONTH($D$2:D142)='04_DS_Nhan_Viec_Trong_Thang'!$C$2)*(YEAR($D$2:D142)='04_DS_Nhan_Viec_Trong_Thang'!$E$2)),""))</f>
      </c>
      <c r="M142" s="65">
        <f t="shared" si="4"/>
      </c>
      <c r="N142" s="61">
        <f t="array" ref="N142">IF($B142="","",IF($J142="","Đang theo dõi",IF(OR(IFERROR(INDEX('05_Theo_Doi_Gio_Cong_7_Ngay'!$R:$R,MATCH($J142,'05_Theo_Doi_Gio_Cong_7_Ngay'!$B:$B,0)),"")="",IFERROR(INDEX('05_Theo_Doi_Gio_Cong_7_Ngay'!$R:$R,MATCH($J142,'05_Theo_Doi_Gio_Cong_7_Ngay'!$B:$B,0)),0)=0),"Đang theo dõi",IFERROR(INDEX('06_DS_Chinh_Thuc'!$K:$K,MATCH(IFERROR(INDEX('05_Theo_Doi_Gio_Cong_7_Ngay'!$R:$R,MATCH($J142,'05_Theo_Doi_Gio_Cong_7_Ngay'!$B:$B,0)),0),'06_DS_Chinh_Thuc'!$B:$B,0)),"Đang theo dõi"))))</f>
      </c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ht="14.25" customHeight="1" spans="1:26" x14ac:dyDescent="0.25">
      <c r="A143" s="66">
        <f t="shared" si="0"/>
      </c>
      <c r="B143" s="61"/>
      <c r="C143" s="66">
        <f t="array" ref="C143">IF(B143="","",IFERROR(INDEX('01_UngVien_PhongVan'!$D:$D,MATCH(B143,'01_UngVien_PhongVan'!$B:$B,0)),"Không tìm thấy mã ứng viên"))</f>
      </c>
      <c r="D143" s="67">
        <f t="array" ref="D143">IF(B143="","",IFERROR(INDEX('01_UngVien_PhongVan'!$AZ:$AZ,MATCH(B143,'01_UngVien_PhongVan'!$B:$B,0)),""))</f>
      </c>
      <c r="E143" s="68"/>
      <c r="F143" s="66">
        <f t="shared" si="1"/>
      </c>
      <c r="G143" s="67">
        <f t="shared" si="2"/>
      </c>
      <c r="H143" s="61"/>
      <c r="I143" s="61"/>
      <c r="J143" s="66">
        <f t="shared" si="3"/>
      </c>
      <c r="K143" s="61"/>
      <c r="L143" s="66">
        <f>IF(D143="","",IF(AND(MONTH(D143)='04_DS_Nhan_Viec_Trong_Thang'!$C$2,YEAR(D143)='04_DS_Nhan_Viec_Trong_Thang'!$E$2),SUMPRODUCT(($D$2:D143&lt;&gt;"")*(MONTH($D$2:D143)='04_DS_Nhan_Viec_Trong_Thang'!$C$2)*(YEAR($D$2:D143)='04_DS_Nhan_Viec_Trong_Thang'!$E$2)),""))</f>
      </c>
      <c r="M143" s="65">
        <f t="shared" si="4"/>
      </c>
      <c r="N143" s="61">
        <f t="array" ref="N143">IF($B143="","",IF($J143="","Đang theo dõi",IF(OR(IFERROR(INDEX('05_Theo_Doi_Gio_Cong_7_Ngay'!$R:$R,MATCH($J143,'05_Theo_Doi_Gio_Cong_7_Ngay'!$B:$B,0)),"")="",IFERROR(INDEX('05_Theo_Doi_Gio_Cong_7_Ngay'!$R:$R,MATCH($J143,'05_Theo_Doi_Gio_Cong_7_Ngay'!$B:$B,0)),0)=0),"Đang theo dõi",IFERROR(INDEX('06_DS_Chinh_Thuc'!$K:$K,MATCH(IFERROR(INDEX('05_Theo_Doi_Gio_Cong_7_Ngay'!$R:$R,MATCH($J143,'05_Theo_Doi_Gio_Cong_7_Ngay'!$B:$B,0)),0),'06_DS_Chinh_Thuc'!$B:$B,0)),"Đang theo dõi"))))</f>
      </c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ht="14.25" customHeight="1" spans="1:26" x14ac:dyDescent="0.25">
      <c r="A144" s="66">
        <f t="shared" si="0"/>
      </c>
      <c r="B144" s="61"/>
      <c r="C144" s="66">
        <f t="array" ref="C144">IF(B144="","",IFERROR(INDEX('01_UngVien_PhongVan'!$D:$D,MATCH(B144,'01_UngVien_PhongVan'!$B:$B,0)),"Không tìm thấy mã ứng viên"))</f>
      </c>
      <c r="D144" s="67">
        <f t="array" ref="D144">IF(B144="","",IFERROR(INDEX('01_UngVien_PhongVan'!$AZ:$AZ,MATCH(B144,'01_UngVien_PhongVan'!$B:$B,0)),""))</f>
      </c>
      <c r="E144" s="68"/>
      <c r="F144" s="66">
        <f t="shared" si="1"/>
      </c>
      <c r="G144" s="67">
        <f t="shared" si="2"/>
      </c>
      <c r="H144" s="61"/>
      <c r="I144" s="61"/>
      <c r="J144" s="66">
        <f t="shared" si="3"/>
      </c>
      <c r="K144" s="61"/>
      <c r="L144" s="66">
        <f>IF(D144="","",IF(AND(MONTH(D144)='04_DS_Nhan_Viec_Trong_Thang'!$C$2,YEAR(D144)='04_DS_Nhan_Viec_Trong_Thang'!$E$2),SUMPRODUCT(($D$2:D144&lt;&gt;"")*(MONTH($D$2:D144)='04_DS_Nhan_Viec_Trong_Thang'!$C$2)*(YEAR($D$2:D144)='04_DS_Nhan_Viec_Trong_Thang'!$E$2)),""))</f>
      </c>
      <c r="M144" s="65">
        <f t="shared" si="4"/>
      </c>
      <c r="N144" s="61">
        <f t="array" ref="N144">IF($B144="","",IF($J144="","Đang theo dõi",IF(OR(IFERROR(INDEX('05_Theo_Doi_Gio_Cong_7_Ngay'!$R:$R,MATCH($J144,'05_Theo_Doi_Gio_Cong_7_Ngay'!$B:$B,0)),"")="",IFERROR(INDEX('05_Theo_Doi_Gio_Cong_7_Ngay'!$R:$R,MATCH($J144,'05_Theo_Doi_Gio_Cong_7_Ngay'!$B:$B,0)),0)=0),"Đang theo dõi",IFERROR(INDEX('06_DS_Chinh_Thuc'!$K:$K,MATCH(IFERROR(INDEX('05_Theo_Doi_Gio_Cong_7_Ngay'!$R:$R,MATCH($J144,'05_Theo_Doi_Gio_Cong_7_Ngay'!$B:$B,0)),0),'06_DS_Chinh_Thuc'!$B:$B,0)),"Đang theo dõi"))))</f>
      </c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ht="14.25" customHeight="1" spans="1:26" x14ac:dyDescent="0.25">
      <c r="A145" s="66">
        <f t="shared" si="0"/>
      </c>
      <c r="B145" s="61"/>
      <c r="C145" s="66">
        <f t="array" ref="C145">IF(B145="","",IFERROR(INDEX('01_UngVien_PhongVan'!$D:$D,MATCH(B145,'01_UngVien_PhongVan'!$B:$B,0)),"Không tìm thấy mã ứng viên"))</f>
      </c>
      <c r="D145" s="67">
        <f t="array" ref="D145">IF(B145="","",IFERROR(INDEX('01_UngVien_PhongVan'!$AZ:$AZ,MATCH(B145,'01_UngVien_PhongVan'!$B:$B,0)),""))</f>
      </c>
      <c r="E145" s="68"/>
      <c r="F145" s="66">
        <f t="shared" si="1"/>
      </c>
      <c r="G145" s="67">
        <f t="shared" si="2"/>
      </c>
      <c r="H145" s="61"/>
      <c r="I145" s="61"/>
      <c r="J145" s="66">
        <f t="shared" si="3"/>
      </c>
      <c r="K145" s="61"/>
      <c r="L145" s="66">
        <f>IF(D145="","",IF(AND(MONTH(D145)='04_DS_Nhan_Viec_Trong_Thang'!$C$2,YEAR(D145)='04_DS_Nhan_Viec_Trong_Thang'!$E$2),SUMPRODUCT(($D$2:D145&lt;&gt;"")*(MONTH($D$2:D145)='04_DS_Nhan_Viec_Trong_Thang'!$C$2)*(YEAR($D$2:D145)='04_DS_Nhan_Viec_Trong_Thang'!$E$2)),""))</f>
      </c>
      <c r="M145" s="65">
        <f t="shared" si="4"/>
      </c>
      <c r="N145" s="61">
        <f t="array" ref="N145">IF($B145="","",IF($J145="","Đang theo dõi",IF(OR(IFERROR(INDEX('05_Theo_Doi_Gio_Cong_7_Ngay'!$R:$R,MATCH($J145,'05_Theo_Doi_Gio_Cong_7_Ngay'!$B:$B,0)),"")="",IFERROR(INDEX('05_Theo_Doi_Gio_Cong_7_Ngay'!$R:$R,MATCH($J145,'05_Theo_Doi_Gio_Cong_7_Ngay'!$B:$B,0)),0)=0),"Đang theo dõi",IFERROR(INDEX('06_DS_Chinh_Thuc'!$K:$K,MATCH(IFERROR(INDEX('05_Theo_Doi_Gio_Cong_7_Ngay'!$R:$R,MATCH($J145,'05_Theo_Doi_Gio_Cong_7_Ngay'!$B:$B,0)),0),'06_DS_Chinh_Thuc'!$B:$B,0)),"Đang theo dõi"))))</f>
      </c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ht="14.25" customHeight="1" spans="1:26" x14ac:dyDescent="0.25">
      <c r="A146" s="66">
        <f t="shared" si="0"/>
      </c>
      <c r="B146" s="61"/>
      <c r="C146" s="66">
        <f t="array" ref="C146">IF(B146="","",IFERROR(INDEX('01_UngVien_PhongVan'!$D:$D,MATCH(B146,'01_UngVien_PhongVan'!$B:$B,0)),"Không tìm thấy mã ứng viên"))</f>
      </c>
      <c r="D146" s="67">
        <f t="array" ref="D146">IF(B146="","",IFERROR(INDEX('01_UngVien_PhongVan'!$AZ:$AZ,MATCH(B146,'01_UngVien_PhongVan'!$B:$B,0)),""))</f>
      </c>
      <c r="E146" s="68"/>
      <c r="F146" s="66">
        <f t="shared" si="1"/>
      </c>
      <c r="G146" s="67">
        <f t="shared" si="2"/>
      </c>
      <c r="H146" s="61"/>
      <c r="I146" s="61"/>
      <c r="J146" s="66">
        <f t="shared" si="3"/>
      </c>
      <c r="K146" s="61"/>
      <c r="L146" s="66">
        <f>IF(D146="","",IF(AND(MONTH(D146)='04_DS_Nhan_Viec_Trong_Thang'!$C$2,YEAR(D146)='04_DS_Nhan_Viec_Trong_Thang'!$E$2),SUMPRODUCT(($D$2:D146&lt;&gt;"")*(MONTH($D$2:D146)='04_DS_Nhan_Viec_Trong_Thang'!$C$2)*(YEAR($D$2:D146)='04_DS_Nhan_Viec_Trong_Thang'!$E$2)),""))</f>
      </c>
      <c r="M146" s="65">
        <f t="shared" si="4"/>
      </c>
      <c r="N146" s="61">
        <f t="array" ref="N146">IF($B146="","",IF($J146="","Đang theo dõi",IF(OR(IFERROR(INDEX('05_Theo_Doi_Gio_Cong_7_Ngay'!$R:$R,MATCH($J146,'05_Theo_Doi_Gio_Cong_7_Ngay'!$B:$B,0)),"")="",IFERROR(INDEX('05_Theo_Doi_Gio_Cong_7_Ngay'!$R:$R,MATCH($J146,'05_Theo_Doi_Gio_Cong_7_Ngay'!$B:$B,0)),0)=0),"Đang theo dõi",IFERROR(INDEX('06_DS_Chinh_Thuc'!$K:$K,MATCH(IFERROR(INDEX('05_Theo_Doi_Gio_Cong_7_Ngay'!$R:$R,MATCH($J146,'05_Theo_Doi_Gio_Cong_7_Ngay'!$B:$B,0)),0),'06_DS_Chinh_Thuc'!$B:$B,0)),"Đang theo dõi"))))</f>
      </c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ht="14.25" customHeight="1" spans="1:26" x14ac:dyDescent="0.25">
      <c r="A147" s="66">
        <f t="shared" si="0"/>
      </c>
      <c r="B147" s="61"/>
      <c r="C147" s="66">
        <f t="array" ref="C147">IF(B147="","",IFERROR(INDEX('01_UngVien_PhongVan'!$D:$D,MATCH(B147,'01_UngVien_PhongVan'!$B:$B,0)),"Không tìm thấy mã ứng viên"))</f>
      </c>
      <c r="D147" s="67">
        <f t="array" ref="D147">IF(B147="","",IFERROR(INDEX('01_UngVien_PhongVan'!$AZ:$AZ,MATCH(B147,'01_UngVien_PhongVan'!$B:$B,0)),""))</f>
      </c>
      <c r="E147" s="68"/>
      <c r="F147" s="66">
        <f t="shared" si="1"/>
      </c>
      <c r="G147" s="67">
        <f t="shared" si="2"/>
      </c>
      <c r="H147" s="61"/>
      <c r="I147" s="61"/>
      <c r="J147" s="66">
        <f t="shared" si="3"/>
      </c>
      <c r="K147" s="61"/>
      <c r="L147" s="66">
        <f>IF(D147="","",IF(AND(MONTH(D147)='04_DS_Nhan_Viec_Trong_Thang'!$C$2,YEAR(D147)='04_DS_Nhan_Viec_Trong_Thang'!$E$2),SUMPRODUCT(($D$2:D147&lt;&gt;"")*(MONTH($D$2:D147)='04_DS_Nhan_Viec_Trong_Thang'!$C$2)*(YEAR($D$2:D147)='04_DS_Nhan_Viec_Trong_Thang'!$E$2)),""))</f>
      </c>
      <c r="M147" s="65">
        <f t="shared" si="4"/>
      </c>
      <c r="N147" s="61">
        <f t="array" ref="N147">IF($B147="","",IF($J147="","Đang theo dõi",IF(OR(IFERROR(INDEX('05_Theo_Doi_Gio_Cong_7_Ngay'!$R:$R,MATCH($J147,'05_Theo_Doi_Gio_Cong_7_Ngay'!$B:$B,0)),"")="",IFERROR(INDEX('05_Theo_Doi_Gio_Cong_7_Ngay'!$R:$R,MATCH($J147,'05_Theo_Doi_Gio_Cong_7_Ngay'!$B:$B,0)),0)=0),"Đang theo dõi",IFERROR(INDEX('06_DS_Chinh_Thuc'!$K:$K,MATCH(IFERROR(INDEX('05_Theo_Doi_Gio_Cong_7_Ngay'!$R:$R,MATCH($J147,'05_Theo_Doi_Gio_Cong_7_Ngay'!$B:$B,0)),0),'06_DS_Chinh_Thuc'!$B:$B,0)),"Đang theo dõi"))))</f>
      </c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ht="14.25" customHeight="1" spans="1:26" x14ac:dyDescent="0.25">
      <c r="A148" s="66">
        <f t="shared" si="0"/>
      </c>
      <c r="B148" s="61"/>
      <c r="C148" s="66">
        <f t="array" ref="C148">IF(B148="","",IFERROR(INDEX('01_UngVien_PhongVan'!$D:$D,MATCH(B148,'01_UngVien_PhongVan'!$B:$B,0)),"Không tìm thấy mã ứng viên"))</f>
      </c>
      <c r="D148" s="67">
        <f t="array" ref="D148">IF(B148="","",IFERROR(INDEX('01_UngVien_PhongVan'!$AZ:$AZ,MATCH(B148,'01_UngVien_PhongVan'!$B:$B,0)),""))</f>
      </c>
      <c r="E148" s="68"/>
      <c r="F148" s="66">
        <f t="shared" si="1"/>
      </c>
      <c r="G148" s="67">
        <f t="shared" si="2"/>
      </c>
      <c r="H148" s="61"/>
      <c r="I148" s="61"/>
      <c r="J148" s="66">
        <f t="shared" si="3"/>
      </c>
      <c r="K148" s="61"/>
      <c r="L148" s="66">
        <f>IF(D148="","",IF(AND(MONTH(D148)='04_DS_Nhan_Viec_Trong_Thang'!$C$2,YEAR(D148)='04_DS_Nhan_Viec_Trong_Thang'!$E$2),SUMPRODUCT(($D$2:D148&lt;&gt;"")*(MONTH($D$2:D148)='04_DS_Nhan_Viec_Trong_Thang'!$C$2)*(YEAR($D$2:D148)='04_DS_Nhan_Viec_Trong_Thang'!$E$2)),""))</f>
      </c>
      <c r="M148" s="65">
        <f t="shared" si="4"/>
      </c>
      <c r="N148" s="61">
        <f t="array" ref="N148">IF($B148="","",IF($J148="","Đang theo dõi",IF(OR(IFERROR(INDEX('05_Theo_Doi_Gio_Cong_7_Ngay'!$R:$R,MATCH($J148,'05_Theo_Doi_Gio_Cong_7_Ngay'!$B:$B,0)),"")="",IFERROR(INDEX('05_Theo_Doi_Gio_Cong_7_Ngay'!$R:$R,MATCH($J148,'05_Theo_Doi_Gio_Cong_7_Ngay'!$B:$B,0)),0)=0),"Đang theo dõi",IFERROR(INDEX('06_DS_Chinh_Thuc'!$K:$K,MATCH(IFERROR(INDEX('05_Theo_Doi_Gio_Cong_7_Ngay'!$R:$R,MATCH($J148,'05_Theo_Doi_Gio_Cong_7_Ngay'!$B:$B,0)),0),'06_DS_Chinh_Thuc'!$B:$B,0)),"Đang theo dõi"))))</f>
      </c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ht="14.25" customHeight="1" spans="1:26" x14ac:dyDescent="0.25">
      <c r="A149" s="66">
        <f t="shared" si="0"/>
      </c>
      <c r="B149" s="61"/>
      <c r="C149" s="66">
        <f t="array" ref="C149">IF(B149="","",IFERROR(INDEX('01_UngVien_PhongVan'!$D:$D,MATCH(B149,'01_UngVien_PhongVan'!$B:$B,0)),"Không tìm thấy mã ứng viên"))</f>
      </c>
      <c r="D149" s="67">
        <f t="array" ref="D149">IF(B149="","",IFERROR(INDEX('01_UngVien_PhongVan'!$AZ:$AZ,MATCH(B149,'01_UngVien_PhongVan'!$B:$B,0)),""))</f>
      </c>
      <c r="E149" s="68"/>
      <c r="F149" s="66">
        <f t="shared" si="1"/>
      </c>
      <c r="G149" s="67">
        <f t="shared" si="2"/>
      </c>
      <c r="H149" s="61"/>
      <c r="I149" s="61"/>
      <c r="J149" s="66">
        <f t="shared" si="3"/>
      </c>
      <c r="K149" s="61"/>
      <c r="L149" s="66">
        <f>IF(D149="","",IF(AND(MONTH(D149)='04_DS_Nhan_Viec_Trong_Thang'!$C$2,YEAR(D149)='04_DS_Nhan_Viec_Trong_Thang'!$E$2),SUMPRODUCT(($D$2:D149&lt;&gt;"")*(MONTH($D$2:D149)='04_DS_Nhan_Viec_Trong_Thang'!$C$2)*(YEAR($D$2:D149)='04_DS_Nhan_Viec_Trong_Thang'!$E$2)),""))</f>
      </c>
      <c r="M149" s="65">
        <f t="shared" si="4"/>
      </c>
      <c r="N149" s="61">
        <f t="array" ref="N149">IF($B149="","",IF($J149="","Đang theo dõi",IF(OR(IFERROR(INDEX('05_Theo_Doi_Gio_Cong_7_Ngay'!$R:$R,MATCH($J149,'05_Theo_Doi_Gio_Cong_7_Ngay'!$B:$B,0)),"")="",IFERROR(INDEX('05_Theo_Doi_Gio_Cong_7_Ngay'!$R:$R,MATCH($J149,'05_Theo_Doi_Gio_Cong_7_Ngay'!$B:$B,0)),0)=0),"Đang theo dõi",IFERROR(INDEX('06_DS_Chinh_Thuc'!$K:$K,MATCH(IFERROR(INDEX('05_Theo_Doi_Gio_Cong_7_Ngay'!$R:$R,MATCH($J149,'05_Theo_Doi_Gio_Cong_7_Ngay'!$B:$B,0)),0),'06_DS_Chinh_Thuc'!$B:$B,0)),"Đang theo dõi"))))</f>
      </c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ht="14.25" customHeight="1" spans="1:26" x14ac:dyDescent="0.25">
      <c r="A150" s="66">
        <f t="shared" si="0"/>
      </c>
      <c r="B150" s="61"/>
      <c r="C150" s="66">
        <f t="array" ref="C150">IF(B150="","",IFERROR(INDEX('01_UngVien_PhongVan'!$D:$D,MATCH(B150,'01_UngVien_PhongVan'!$B:$B,0)),"Không tìm thấy mã ứng viên"))</f>
      </c>
      <c r="D150" s="67">
        <f t="array" ref="D150">IF(B150="","",IFERROR(INDEX('01_UngVien_PhongVan'!$AZ:$AZ,MATCH(B150,'01_UngVien_PhongVan'!$B:$B,0)),""))</f>
      </c>
      <c r="E150" s="68"/>
      <c r="F150" s="66">
        <f t="shared" si="1"/>
      </c>
      <c r="G150" s="67">
        <f t="shared" si="2"/>
      </c>
      <c r="H150" s="61"/>
      <c r="I150" s="61"/>
      <c r="J150" s="66">
        <f t="shared" si="3"/>
      </c>
      <c r="K150" s="61"/>
      <c r="L150" s="66">
        <f>IF(D150="","",IF(AND(MONTH(D150)='04_DS_Nhan_Viec_Trong_Thang'!$C$2,YEAR(D150)='04_DS_Nhan_Viec_Trong_Thang'!$E$2),SUMPRODUCT(($D$2:D150&lt;&gt;"")*(MONTH($D$2:D150)='04_DS_Nhan_Viec_Trong_Thang'!$C$2)*(YEAR($D$2:D150)='04_DS_Nhan_Viec_Trong_Thang'!$E$2)),""))</f>
      </c>
      <c r="M150" s="65">
        <f t="shared" si="4"/>
      </c>
      <c r="N150" s="61">
        <f t="array" ref="N150">IF($B150="","",IF($J150="","Đang theo dõi",IF(OR(IFERROR(INDEX('05_Theo_Doi_Gio_Cong_7_Ngay'!$R:$R,MATCH($J150,'05_Theo_Doi_Gio_Cong_7_Ngay'!$B:$B,0)),"")="",IFERROR(INDEX('05_Theo_Doi_Gio_Cong_7_Ngay'!$R:$R,MATCH($J150,'05_Theo_Doi_Gio_Cong_7_Ngay'!$B:$B,0)),0)=0),"Đang theo dõi",IFERROR(INDEX('06_DS_Chinh_Thuc'!$K:$K,MATCH(IFERROR(INDEX('05_Theo_Doi_Gio_Cong_7_Ngay'!$R:$R,MATCH($J150,'05_Theo_Doi_Gio_Cong_7_Ngay'!$B:$B,0)),0),'06_DS_Chinh_Thuc'!$B:$B,0)),"Đang theo dõi"))))</f>
      </c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ht="14.25" customHeight="1" spans="1:26" x14ac:dyDescent="0.25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ht="14.25" customHeight="1" spans="1:26" x14ac:dyDescent="0.25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ht="14.25" customHeight="1" spans="1:26" x14ac:dyDescent="0.25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ht="14.25" customHeight="1" spans="1:26" x14ac:dyDescent="0.25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ht="14.25" customHeight="1" spans="1:26" x14ac:dyDescent="0.25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ht="14.25" customHeight="1" spans="1:26" x14ac:dyDescent="0.25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ht="14.25" customHeight="1" spans="1:26" x14ac:dyDescent="0.25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ht="14.25" customHeight="1" spans="1:26" x14ac:dyDescent="0.25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ht="14.25" customHeight="1" spans="1:26" x14ac:dyDescent="0.25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ht="14.25" customHeight="1" spans="1:26" x14ac:dyDescent="0.25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ht="14.25" customHeight="1" spans="1:26" x14ac:dyDescent="0.25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ht="14.25" customHeight="1" spans="1:26" x14ac:dyDescent="0.25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ht="14.25" customHeight="1" spans="1:26" x14ac:dyDescent="0.25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ht="14.25" customHeight="1" spans="1:26" x14ac:dyDescent="0.25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ht="14.25" customHeight="1" spans="1:26" x14ac:dyDescent="0.25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ht="14.25" customHeight="1" spans="1:26" x14ac:dyDescent="0.25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ht="14.25" customHeight="1" spans="1:26" x14ac:dyDescent="0.25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ht="14.25" customHeight="1" spans="1:26" x14ac:dyDescent="0.25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ht="14.25" customHeight="1" spans="1:26" x14ac:dyDescent="0.25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ht="14.25" customHeight="1" spans="1:26" x14ac:dyDescent="0.25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ht="14.25" customHeight="1" spans="1:26" x14ac:dyDescent="0.25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ht="14.25" customHeight="1" spans="1:26" x14ac:dyDescent="0.25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ht="14.25" customHeight="1" spans="1:26" x14ac:dyDescent="0.25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ht="14.25" customHeight="1" spans="1:26" x14ac:dyDescent="0.25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ht="14.25" customHeight="1" spans="1:26" x14ac:dyDescent="0.25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ht="14.25" customHeight="1" spans="1:26" x14ac:dyDescent="0.25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ht="14.25" customHeight="1" spans="1:26" x14ac:dyDescent="0.25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ht="14.25" customHeight="1" spans="1:26" x14ac:dyDescent="0.25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ht="14.25" customHeight="1" spans="1:26" x14ac:dyDescent="0.25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ht="14.25" customHeight="1" spans="1:26" x14ac:dyDescent="0.25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ht="14.25" customHeight="1" spans="1:26" x14ac:dyDescent="0.25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ht="14.25" customHeight="1" spans="1:26" x14ac:dyDescent="0.25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ht="14.25" customHeight="1" spans="1:26" x14ac:dyDescent="0.25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ht="14.25" customHeight="1" spans="1:26" x14ac:dyDescent="0.25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ht="14.25" customHeight="1" spans="1:26" x14ac:dyDescent="0.25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ht="14.25" customHeight="1" spans="1:26" x14ac:dyDescent="0.25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ht="14.25" customHeight="1" spans="1:26" x14ac:dyDescent="0.25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ht="14.25" customHeight="1" spans="1:26" x14ac:dyDescent="0.25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ht="14.25" customHeight="1" spans="1:26" x14ac:dyDescent="0.25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ht="14.25" customHeight="1" spans="1:26" x14ac:dyDescent="0.25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ht="14.25" customHeight="1" spans="1:26" x14ac:dyDescent="0.25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ht="14.25" customHeight="1" spans="1:26" x14ac:dyDescent="0.25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ht="14.25" customHeight="1" spans="1:26" x14ac:dyDescent="0.25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ht="14.25" customHeight="1" spans="1:26" x14ac:dyDescent="0.25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ht="14.25" customHeight="1" spans="1:26" x14ac:dyDescent="0.25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ht="14.25" customHeight="1" spans="1:26" x14ac:dyDescent="0.25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ht="14.25" customHeight="1" spans="1:26" x14ac:dyDescent="0.25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ht="14.25" customHeight="1" spans="1:26" x14ac:dyDescent="0.25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ht="14.25" customHeight="1" spans="1:26" x14ac:dyDescent="0.25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ht="14.25" customHeight="1" spans="1:26" x14ac:dyDescent="0.25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ht="14.25" customHeight="1" spans="1:26" x14ac:dyDescent="0.25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ht="14.25" customHeight="1" spans="1:26" x14ac:dyDescent="0.25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ht="14.25" customHeight="1" spans="1:26" x14ac:dyDescent="0.25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ht="14.25" customHeight="1" spans="1:26" x14ac:dyDescent="0.25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ht="14.25" customHeight="1" spans="1:26" x14ac:dyDescent="0.25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ht="14.25" customHeight="1" spans="1:26" x14ac:dyDescent="0.25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ht="14.25" customHeight="1" spans="1:26" x14ac:dyDescent="0.25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ht="14.25" customHeight="1" spans="1:26" x14ac:dyDescent="0.25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ht="14.25" customHeight="1" spans="1:26" x14ac:dyDescent="0.25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ht="14.25" customHeight="1" spans="1:26" x14ac:dyDescent="0.25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ht="14.25" customHeight="1" spans="1:26" x14ac:dyDescent="0.25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ht="14.25" customHeight="1" spans="1:26" x14ac:dyDescent="0.25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ht="14.25" customHeight="1" spans="1:26" x14ac:dyDescent="0.25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ht="14.25" customHeight="1" spans="1:26" x14ac:dyDescent="0.25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ht="14.25" customHeight="1" spans="1:26" x14ac:dyDescent="0.25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ht="14.25" customHeight="1" spans="1:26" x14ac:dyDescent="0.25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ht="14.25" customHeight="1" spans="1:26" x14ac:dyDescent="0.25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ht="14.25" customHeight="1" spans="1:26" x14ac:dyDescent="0.25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ht="14.25" customHeight="1" spans="1:26" x14ac:dyDescent="0.25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ht="14.25" customHeight="1" spans="1:26" x14ac:dyDescent="0.25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ht="14.25" customHeight="1" spans="1:26" x14ac:dyDescent="0.25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ht="14.25" customHeight="1" spans="1:26" x14ac:dyDescent="0.25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ht="14.25" customHeight="1" spans="1:26" x14ac:dyDescent="0.25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ht="14.25" customHeight="1" spans="1:26" x14ac:dyDescent="0.25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ht="14.25" customHeight="1" spans="1:26" x14ac:dyDescent="0.25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ht="14.25" customHeight="1" spans="1:26" x14ac:dyDescent="0.25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ht="14.25" customHeight="1" spans="1:26" x14ac:dyDescent="0.25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ht="14.25" customHeight="1" spans="1:26" x14ac:dyDescent="0.25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ht="14.25" customHeight="1" spans="1:26" x14ac:dyDescent="0.25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ht="14.25" customHeight="1" spans="1:26" x14ac:dyDescent="0.25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ht="14.25" customHeight="1" spans="1:26" x14ac:dyDescent="0.25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ht="14.25" customHeight="1" spans="1:26" x14ac:dyDescent="0.25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ht="14.25" customHeight="1" spans="1:26" x14ac:dyDescent="0.25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ht="14.25" customHeight="1" spans="1:26" x14ac:dyDescent="0.25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ht="14.25" customHeight="1" spans="1:26" x14ac:dyDescent="0.25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ht="14.25" customHeight="1" spans="1:26" x14ac:dyDescent="0.25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ht="14.25" customHeight="1" spans="1:26" x14ac:dyDescent="0.25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ht="14.25" customHeight="1" spans="1:26" x14ac:dyDescent="0.25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ht="14.25" customHeight="1" spans="1:26" x14ac:dyDescent="0.25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ht="14.25" customHeight="1" spans="1:26" x14ac:dyDescent="0.25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ht="14.25" customHeight="1" spans="1:26" x14ac:dyDescent="0.25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ht="14.25" customHeight="1" spans="1:26" x14ac:dyDescent="0.25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ht="14.25" customHeight="1" spans="1:26" x14ac:dyDescent="0.25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ht="14.25" customHeight="1" spans="1:26" x14ac:dyDescent="0.25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ht="14.25" customHeight="1" spans="1:26" x14ac:dyDescent="0.25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ht="14.25" customHeight="1" spans="1:26" x14ac:dyDescent="0.25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ht="14.25" customHeight="1" spans="1:26" x14ac:dyDescent="0.25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ht="14.25" customHeight="1" spans="1:26" x14ac:dyDescent="0.25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ht="14.25" customHeight="1" spans="1:26" x14ac:dyDescent="0.25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ht="14.25" customHeight="1" spans="1:26" x14ac:dyDescent="0.25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ht="14.25" customHeight="1" spans="1:26" x14ac:dyDescent="0.25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ht="14.25" customHeight="1" spans="1:26" x14ac:dyDescent="0.25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ht="14.25" customHeight="1" spans="1:26" x14ac:dyDescent="0.25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ht="14.25" customHeight="1" spans="1:26" x14ac:dyDescent="0.25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ht="14.25" customHeight="1" spans="1:26" x14ac:dyDescent="0.25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ht="14.25" customHeight="1" spans="1:26" x14ac:dyDescent="0.25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ht="14.25" customHeight="1" spans="1:26" x14ac:dyDescent="0.25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ht="14.25" customHeight="1" spans="1:26" x14ac:dyDescent="0.25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ht="14.25" customHeight="1" spans="1:26" x14ac:dyDescent="0.25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ht="14.25" customHeight="1" spans="1:26" x14ac:dyDescent="0.25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ht="14.25" customHeight="1" spans="1:26" x14ac:dyDescent="0.25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ht="14.25" customHeight="1" spans="1:26" x14ac:dyDescent="0.25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ht="14.25" customHeight="1" spans="1:26" x14ac:dyDescent="0.25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ht="14.25" customHeight="1" spans="1:26" x14ac:dyDescent="0.25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ht="14.25" customHeight="1" spans="1:26" x14ac:dyDescent="0.25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ht="14.25" customHeight="1" spans="1:26" x14ac:dyDescent="0.25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ht="14.25" customHeight="1" spans="1:26" x14ac:dyDescent="0.25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ht="14.25" customHeight="1" spans="1:26" x14ac:dyDescent="0.25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ht="14.25" customHeight="1" spans="1:26" x14ac:dyDescent="0.25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ht="14.25" customHeight="1" spans="1:26" x14ac:dyDescent="0.25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ht="14.25" customHeight="1" spans="1:26" x14ac:dyDescent="0.25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ht="14.25" customHeight="1" spans="1:26" x14ac:dyDescent="0.25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ht="14.25" customHeight="1" spans="1:26" x14ac:dyDescent="0.25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ht="14.25" customHeight="1" spans="1:26" x14ac:dyDescent="0.25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ht="14.25" customHeight="1" spans="1:26" x14ac:dyDescent="0.25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ht="14.25" customHeight="1" spans="1:26" x14ac:dyDescent="0.25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ht="14.25" customHeight="1" spans="1:26" x14ac:dyDescent="0.25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ht="14.25" customHeight="1" spans="1:26" x14ac:dyDescent="0.25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ht="14.25" customHeight="1" spans="1:26" x14ac:dyDescent="0.25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ht="14.25" customHeight="1" spans="1:26" x14ac:dyDescent="0.25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ht="14.25" customHeight="1" spans="1:26" x14ac:dyDescent="0.25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ht="14.25" customHeight="1" spans="1:26" x14ac:dyDescent="0.25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ht="14.25" customHeight="1" spans="1:26" x14ac:dyDescent="0.25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ht="14.25" customHeight="1" spans="1:26" x14ac:dyDescent="0.25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ht="14.25" customHeight="1" spans="1:26" x14ac:dyDescent="0.25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ht="14.25" customHeight="1" spans="1:26" x14ac:dyDescent="0.25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ht="14.25" customHeight="1" spans="1:26" x14ac:dyDescent="0.25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ht="14.25" customHeight="1" spans="1:26" x14ac:dyDescent="0.25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ht="14.25" customHeight="1" spans="1:26" x14ac:dyDescent="0.25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ht="14.25" customHeight="1" spans="1:26" x14ac:dyDescent="0.25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ht="14.25" customHeight="1" spans="1:26" x14ac:dyDescent="0.25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ht="14.25" customHeight="1" spans="1:26" x14ac:dyDescent="0.25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ht="14.25" customHeight="1" spans="1:26" x14ac:dyDescent="0.25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ht="14.25" customHeight="1" spans="1:26" x14ac:dyDescent="0.25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ht="14.25" customHeight="1" spans="1:26" x14ac:dyDescent="0.25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ht="14.25" customHeight="1" spans="1:26" x14ac:dyDescent="0.25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ht="14.25" customHeight="1" spans="1:26" x14ac:dyDescent="0.25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ht="14.25" customHeight="1" spans="1:26" x14ac:dyDescent="0.25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ht="14.25" customHeight="1" spans="1:26" x14ac:dyDescent="0.25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ht="14.25" customHeight="1" spans="1:26" x14ac:dyDescent="0.25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ht="14.25" customHeight="1" spans="1:26" x14ac:dyDescent="0.25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ht="14.25" customHeight="1" spans="1:26" x14ac:dyDescent="0.25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ht="14.25" customHeight="1" spans="1:26" x14ac:dyDescent="0.25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ht="14.25" customHeight="1" spans="1:26" x14ac:dyDescent="0.25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ht="14.25" customHeight="1" spans="1:26" x14ac:dyDescent="0.25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ht="14.25" customHeight="1" spans="1:26" x14ac:dyDescent="0.25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ht="14.25" customHeight="1" spans="1:26" x14ac:dyDescent="0.25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ht="14.25" customHeight="1" spans="1:26" x14ac:dyDescent="0.25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ht="14.25" customHeight="1" spans="1:26" x14ac:dyDescent="0.25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ht="14.25" customHeight="1" spans="1:26" x14ac:dyDescent="0.25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ht="14.25" customHeight="1" spans="1:26" x14ac:dyDescent="0.25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ht="14.25" customHeight="1" spans="1:26" x14ac:dyDescent="0.25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ht="14.25" customHeight="1" spans="1:26" x14ac:dyDescent="0.25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ht="14.25" customHeight="1" spans="1:26" x14ac:dyDescent="0.25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ht="14.25" customHeight="1" spans="1:26" x14ac:dyDescent="0.25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ht="14.25" customHeight="1" spans="1:26" x14ac:dyDescent="0.25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ht="14.25" customHeight="1" spans="1:26" x14ac:dyDescent="0.25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ht="14.25" customHeight="1" spans="1:26" x14ac:dyDescent="0.25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ht="14.25" customHeight="1" spans="1:26" x14ac:dyDescent="0.25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ht="14.25" customHeight="1" spans="1:26" x14ac:dyDescent="0.25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ht="14.25" customHeight="1" spans="1:26" x14ac:dyDescent="0.25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ht="14.25" customHeight="1" spans="1:26" x14ac:dyDescent="0.25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ht="14.25" customHeight="1" spans="1:26" x14ac:dyDescent="0.25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ht="14.25" customHeight="1" spans="1:26" x14ac:dyDescent="0.25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ht="14.25" customHeight="1" spans="1:26" x14ac:dyDescent="0.25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ht="14.25" customHeight="1" spans="1:26" x14ac:dyDescent="0.25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ht="14.25" customHeight="1" spans="1:26" x14ac:dyDescent="0.25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ht="14.25" customHeight="1" spans="1:26" x14ac:dyDescent="0.25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ht="14.25" customHeight="1" spans="1:26" x14ac:dyDescent="0.25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ht="14.25" customHeight="1" spans="1:26" x14ac:dyDescent="0.25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ht="14.25" customHeight="1" spans="1:26" x14ac:dyDescent="0.25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ht="14.25" customHeight="1" spans="1:26" x14ac:dyDescent="0.25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ht="14.25" customHeight="1" spans="1:26" x14ac:dyDescent="0.25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ht="14.25" customHeight="1" spans="1:26" x14ac:dyDescent="0.25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ht="14.25" customHeight="1" spans="1:26" x14ac:dyDescent="0.25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ht="14.25" customHeight="1" spans="1:26" x14ac:dyDescent="0.25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ht="14.25" customHeight="1" spans="1:26" x14ac:dyDescent="0.25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ht="14.25" customHeight="1" spans="1:26" x14ac:dyDescent="0.25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ht="14.25" customHeight="1" spans="1:26" x14ac:dyDescent="0.25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ht="14.25" customHeight="1" spans="1:26" x14ac:dyDescent="0.25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ht="14.25" customHeight="1" spans="1:26" x14ac:dyDescent="0.25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ht="14.25" customHeight="1" spans="1:26" x14ac:dyDescent="0.25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ht="14.25" customHeight="1" spans="1:26" x14ac:dyDescent="0.25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ht="14.25" customHeight="1" spans="1:26" x14ac:dyDescent="0.25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ht="14.25" customHeight="1" spans="1:26" x14ac:dyDescent="0.25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ht="14.25" customHeight="1" spans="1:26" x14ac:dyDescent="0.25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ht="14.25" customHeight="1" spans="1:26" x14ac:dyDescent="0.25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ht="14.25" customHeight="1" spans="1:26" x14ac:dyDescent="0.25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ht="14.25" customHeight="1" spans="1:26" x14ac:dyDescent="0.25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ht="14.25" customHeight="1" spans="1:26" x14ac:dyDescent="0.25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ht="14.25" customHeight="1" spans="1:26" x14ac:dyDescent="0.25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ht="14.25" customHeight="1" spans="1:26" x14ac:dyDescent="0.25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ht="14.25" customHeight="1" spans="1:26" x14ac:dyDescent="0.25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ht="14.25" customHeight="1" spans="1:26" x14ac:dyDescent="0.25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ht="14.25" customHeight="1" spans="1:26" x14ac:dyDescent="0.25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ht="14.25" customHeight="1" spans="1:26" x14ac:dyDescent="0.25">
      <c r="A356" s="65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ht="14.25" customHeight="1" spans="1:26" x14ac:dyDescent="0.25">
      <c r="A357" s="65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ht="14.25" customHeight="1" spans="1:26" x14ac:dyDescent="0.25">
      <c r="A358" s="65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ht="14.25" customHeight="1" spans="1:26" x14ac:dyDescent="0.25">
      <c r="A359" s="65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ht="14.25" customHeight="1" spans="1:26" x14ac:dyDescent="0.25">
      <c r="A360" s="65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ht="14.25" customHeight="1" spans="1:26" x14ac:dyDescent="0.25">
      <c r="A361" s="65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ht="14.25" customHeight="1" spans="1:26" x14ac:dyDescent="0.25">
      <c r="A362" s="65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ht="14.25" customHeight="1" spans="1:26" x14ac:dyDescent="0.25">
      <c r="A363" s="65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ht="14.25" customHeight="1" spans="1:26" x14ac:dyDescent="0.25">
      <c r="A364" s="65"/>
      <c r="B364" s="65"/>
      <c r="C364" s="65"/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ht="14.25" customHeight="1" spans="1:26" x14ac:dyDescent="0.25">
      <c r="A365" s="65"/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ht="14.25" customHeight="1" spans="1:26" x14ac:dyDescent="0.25">
      <c r="A366" s="65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ht="14.25" customHeight="1" spans="1:26" x14ac:dyDescent="0.25">
      <c r="A367" s="65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ht="14.25" customHeight="1" spans="1:26" x14ac:dyDescent="0.25">
      <c r="A368" s="65"/>
      <c r="B368" s="65"/>
      <c r="C368" s="65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ht="14.25" customHeight="1" spans="1:26" x14ac:dyDescent="0.25">
      <c r="A369" s="65"/>
      <c r="B369" s="65"/>
      <c r="C369" s="65"/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ht="14.25" customHeight="1" spans="1:26" x14ac:dyDescent="0.25">
      <c r="A370" s="65"/>
      <c r="B370" s="65"/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ht="14.25" customHeight="1" spans="1:26" x14ac:dyDescent="0.25">
      <c r="A371" s="65"/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ht="14.25" customHeight="1" spans="1:26" x14ac:dyDescent="0.25">
      <c r="A372" s="65"/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ht="14.25" customHeight="1" spans="1:26" x14ac:dyDescent="0.25">
      <c r="A373" s="65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ht="14.25" customHeight="1" spans="1:26" x14ac:dyDescent="0.25">
      <c r="A374" s="65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ht="14.25" customHeight="1" spans="1:26" x14ac:dyDescent="0.25">
      <c r="A375" s="65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ht="14.25" customHeight="1" spans="1:26" x14ac:dyDescent="0.25">
      <c r="A376" s="65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ht="14.25" customHeight="1" spans="1:26" x14ac:dyDescent="0.25">
      <c r="A377" s="65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ht="14.25" customHeight="1" spans="1:26" x14ac:dyDescent="0.25">
      <c r="A378" s="65"/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ht="14.25" customHeight="1" spans="1:26" x14ac:dyDescent="0.25">
      <c r="A379" s="65"/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ht="14.25" customHeight="1" spans="1:26" x14ac:dyDescent="0.25">
      <c r="A380" s="65"/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ht="14.25" customHeight="1" spans="1:26" x14ac:dyDescent="0.25">
      <c r="A381" s="65"/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ht="14.25" customHeight="1" spans="1:26" x14ac:dyDescent="0.25">
      <c r="A382" s="65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ht="14.25" customHeight="1" spans="1:26" x14ac:dyDescent="0.25">
      <c r="A383" s="65"/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ht="14.25" customHeight="1" spans="1:26" x14ac:dyDescent="0.25">
      <c r="A384" s="65"/>
      <c r="B384" s="65"/>
      <c r="C384" s="65"/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ht="14.25" customHeight="1" spans="1:26" x14ac:dyDescent="0.25">
      <c r="A385" s="65"/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ht="14.25" customHeight="1" spans="1:26" x14ac:dyDescent="0.25">
      <c r="A386" s="65"/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ht="14.25" customHeight="1" spans="1:26" x14ac:dyDescent="0.25">
      <c r="A387" s="65"/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ht="14.25" customHeight="1" spans="1:26" x14ac:dyDescent="0.25">
      <c r="A388" s="65"/>
      <c r="B388" s="65"/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ht="14.25" customHeight="1" spans="1:26" x14ac:dyDescent="0.25">
      <c r="A389" s="65"/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ht="14.25" customHeight="1" spans="1:26" x14ac:dyDescent="0.25">
      <c r="A390" s="65"/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ht="14.25" customHeight="1" spans="1:26" x14ac:dyDescent="0.25">
      <c r="A391" s="65"/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ht="14.25" customHeight="1" spans="1:26" x14ac:dyDescent="0.25">
      <c r="A392" s="65"/>
      <c r="B392" s="65"/>
      <c r="C392" s="65"/>
      <c r="D392" s="6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ht="14.25" customHeight="1" spans="1:26" x14ac:dyDescent="0.25">
      <c r="A393" s="65"/>
      <c r="B393" s="65"/>
      <c r="C393" s="65"/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ht="14.25" customHeight="1" spans="1:26" x14ac:dyDescent="0.25">
      <c r="A394" s="65"/>
      <c r="B394" s="65"/>
      <c r="C394" s="65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ht="14.25" customHeight="1" spans="1:26" x14ac:dyDescent="0.25">
      <c r="A395" s="65"/>
      <c r="B395" s="65"/>
      <c r="C395" s="65"/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ht="14.25" customHeight="1" spans="1:26" x14ac:dyDescent="0.25">
      <c r="A396" s="65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ht="14.25" customHeight="1" spans="1:26" x14ac:dyDescent="0.25">
      <c r="A397" s="65"/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ht="14.25" customHeight="1" spans="1:26" x14ac:dyDescent="0.25">
      <c r="A398" s="65"/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ht="14.25" customHeight="1" spans="1:26" x14ac:dyDescent="0.25">
      <c r="A399" s="65"/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ht="14.25" customHeight="1" spans="1:26" x14ac:dyDescent="0.25">
      <c r="A400" s="65"/>
      <c r="B400" s="65"/>
      <c r="C400" s="65"/>
      <c r="D400" s="6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ht="14.25" customHeight="1" spans="1:26" x14ac:dyDescent="0.25">
      <c r="A401" s="65"/>
      <c r="B401" s="65"/>
      <c r="C401" s="65"/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ht="14.25" customHeight="1" spans="1:26" x14ac:dyDescent="0.25">
      <c r="A402" s="65"/>
      <c r="B402" s="65"/>
      <c r="C402" s="65"/>
      <c r="D402" s="6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ht="14.25" customHeight="1" spans="1:26" x14ac:dyDescent="0.25">
      <c r="A403" s="65"/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ht="14.25" customHeight="1" spans="1:26" x14ac:dyDescent="0.25">
      <c r="A404" s="65"/>
      <c r="B404" s="65"/>
      <c r="C404" s="65"/>
      <c r="D404" s="6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ht="14.25" customHeight="1" spans="1:26" x14ac:dyDescent="0.25">
      <c r="A405" s="65"/>
      <c r="B405" s="65"/>
      <c r="C405" s="65"/>
      <c r="D405" s="6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ht="14.25" customHeight="1" spans="1:26" x14ac:dyDescent="0.25">
      <c r="A406" s="65"/>
      <c r="B406" s="65"/>
      <c r="C406" s="65"/>
      <c r="D406" s="6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ht="14.25" customHeight="1" spans="1:26" x14ac:dyDescent="0.25">
      <c r="A407" s="65"/>
      <c r="B407" s="65"/>
      <c r="C407" s="65"/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ht="14.25" customHeight="1" spans="1:26" x14ac:dyDescent="0.25">
      <c r="A408" s="65"/>
      <c r="B408" s="65"/>
      <c r="C408" s="65"/>
      <c r="D408" s="6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ht="14.25" customHeight="1" spans="1:26" x14ac:dyDescent="0.25">
      <c r="A409" s="65"/>
      <c r="B409" s="65"/>
      <c r="C409" s="65"/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ht="14.25" customHeight="1" spans="1:26" x14ac:dyDescent="0.25">
      <c r="A410" s="65"/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ht="14.25" customHeight="1" spans="1:26" x14ac:dyDescent="0.25">
      <c r="A411" s="65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ht="14.25" customHeight="1" spans="1:26" x14ac:dyDescent="0.25">
      <c r="A412" s="65"/>
      <c r="B412" s="65"/>
      <c r="C412" s="65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ht="14.25" customHeight="1" spans="1:26" x14ac:dyDescent="0.25">
      <c r="A413" s="65"/>
      <c r="B413" s="65"/>
      <c r="C413" s="65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ht="14.25" customHeight="1" spans="1:26" x14ac:dyDescent="0.25">
      <c r="A414" s="65"/>
      <c r="B414" s="65"/>
      <c r="C414" s="65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ht="14.25" customHeight="1" spans="1:26" x14ac:dyDescent="0.25">
      <c r="A415" s="65"/>
      <c r="B415" s="65"/>
      <c r="C415" s="65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ht="14.25" customHeight="1" spans="1:26" x14ac:dyDescent="0.25">
      <c r="A416" s="65"/>
      <c r="B416" s="65"/>
      <c r="C416" s="65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ht="14.25" customHeight="1" spans="1:26" x14ac:dyDescent="0.25">
      <c r="A417" s="65"/>
      <c r="B417" s="65"/>
      <c r="C417" s="65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ht="14.25" customHeight="1" spans="1:26" x14ac:dyDescent="0.25">
      <c r="A418" s="65"/>
      <c r="B418" s="65"/>
      <c r="C418" s="65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ht="14.25" customHeight="1" spans="1:26" x14ac:dyDescent="0.25">
      <c r="A419" s="65"/>
      <c r="B419" s="65"/>
      <c r="C419" s="65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ht="14.25" customHeight="1" spans="1:26" x14ac:dyDescent="0.25">
      <c r="A420" s="65"/>
      <c r="B420" s="65"/>
      <c r="C420" s="65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ht="14.25" customHeight="1" spans="1:26" x14ac:dyDescent="0.25">
      <c r="A421" s="65"/>
      <c r="B421" s="65"/>
      <c r="C421" s="65"/>
      <c r="D421" s="6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ht="14.25" customHeight="1" spans="1:26" x14ac:dyDescent="0.25">
      <c r="A422" s="65"/>
      <c r="B422" s="65"/>
      <c r="C422" s="65"/>
      <c r="D422" s="6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ht="14.25" customHeight="1" spans="1:26" x14ac:dyDescent="0.25">
      <c r="A423" s="65"/>
      <c r="B423" s="65"/>
      <c r="C423" s="65"/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ht="14.25" customHeight="1" spans="1:26" x14ac:dyDescent="0.25">
      <c r="A424" s="65"/>
      <c r="B424" s="65"/>
      <c r="C424" s="65"/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ht="14.25" customHeight="1" spans="1:26" x14ac:dyDescent="0.25">
      <c r="A425" s="65"/>
      <c r="B425" s="65"/>
      <c r="C425" s="65"/>
      <c r="D425" s="65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ht="14.25" customHeight="1" spans="1:26" x14ac:dyDescent="0.25">
      <c r="A426" s="65"/>
      <c r="B426" s="65"/>
      <c r="C426" s="65"/>
      <c r="D426" s="6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ht="14.25" customHeight="1" spans="1:26" x14ac:dyDescent="0.25">
      <c r="A427" s="65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ht="14.25" customHeight="1" spans="1:26" x14ac:dyDescent="0.25">
      <c r="A428" s="65"/>
      <c r="B428" s="65"/>
      <c r="C428" s="65"/>
      <c r="D428" s="65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ht="14.25" customHeight="1" spans="1:26" x14ac:dyDescent="0.25">
      <c r="A429" s="65"/>
      <c r="B429" s="65"/>
      <c r="C429" s="65"/>
      <c r="D429" s="65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ht="14.25" customHeight="1" spans="1:26" x14ac:dyDescent="0.25">
      <c r="A430" s="65"/>
      <c r="B430" s="65"/>
      <c r="C430" s="65"/>
      <c r="D430" s="65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ht="14.25" customHeight="1" spans="1:26" x14ac:dyDescent="0.25">
      <c r="A431" s="65"/>
      <c r="B431" s="65"/>
      <c r="C431" s="65"/>
      <c r="D431" s="6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ht="14.25" customHeight="1" spans="1:26" x14ac:dyDescent="0.25">
      <c r="A432" s="65"/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ht="14.25" customHeight="1" spans="1:26" x14ac:dyDescent="0.25">
      <c r="A433" s="65"/>
      <c r="B433" s="65"/>
      <c r="C433" s="65"/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ht="14.25" customHeight="1" spans="1:26" x14ac:dyDescent="0.25">
      <c r="A434" s="65"/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ht="14.25" customHeight="1" spans="1:26" x14ac:dyDescent="0.25">
      <c r="A435" s="65"/>
      <c r="B435" s="65"/>
      <c r="C435" s="65"/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ht="14.25" customHeight="1" spans="1:26" x14ac:dyDescent="0.25">
      <c r="A436" s="65"/>
      <c r="B436" s="65"/>
      <c r="C436" s="65"/>
      <c r="D436" s="65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ht="14.25" customHeight="1" spans="1:26" x14ac:dyDescent="0.25">
      <c r="A437" s="65"/>
      <c r="B437" s="65"/>
      <c r="C437" s="65"/>
      <c r="D437" s="65"/>
      <c r="E437" s="65"/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ht="14.25" customHeight="1" spans="1:26" x14ac:dyDescent="0.25">
      <c r="A438" s="65"/>
      <c r="B438" s="65"/>
      <c r="C438" s="65"/>
      <c r="D438" s="65"/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ht="14.25" customHeight="1" spans="1:26" x14ac:dyDescent="0.25">
      <c r="A439" s="65"/>
      <c r="B439" s="65"/>
      <c r="C439" s="65"/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ht="14.25" customHeight="1" spans="1:26" x14ac:dyDescent="0.25">
      <c r="A440" s="65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ht="14.25" customHeight="1" spans="1:26" x14ac:dyDescent="0.25">
      <c r="A441" s="65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ht="14.25" customHeight="1" spans="1:26" x14ac:dyDescent="0.25">
      <c r="A442" s="65"/>
      <c r="B442" s="65"/>
      <c r="C442" s="65"/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ht="14.25" customHeight="1" spans="1:26" x14ac:dyDescent="0.25">
      <c r="A443" s="65"/>
      <c r="B443" s="65"/>
      <c r="C443" s="65"/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ht="14.25" customHeight="1" spans="1:26" x14ac:dyDescent="0.25">
      <c r="A444" s="65"/>
      <c r="B444" s="65"/>
      <c r="C444" s="65"/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ht="14.25" customHeight="1" spans="1:26" x14ac:dyDescent="0.25">
      <c r="A445" s="65"/>
      <c r="B445" s="65"/>
      <c r="C445" s="65"/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ht="14.25" customHeight="1" spans="1:26" x14ac:dyDescent="0.25">
      <c r="A446" s="65"/>
      <c r="B446" s="65"/>
      <c r="C446" s="65"/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ht="14.25" customHeight="1" spans="1:26" x14ac:dyDescent="0.25">
      <c r="A447" s="65"/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ht="14.25" customHeight="1" spans="1:26" x14ac:dyDescent="0.25">
      <c r="A448" s="65"/>
      <c r="B448" s="65"/>
      <c r="C448" s="65"/>
      <c r="D448" s="6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ht="14.25" customHeight="1" spans="1:26" x14ac:dyDescent="0.25">
      <c r="A449" s="65"/>
      <c r="B449" s="65"/>
      <c r="C449" s="65"/>
      <c r="D449" s="6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ht="14.25" customHeight="1" spans="1:26" x14ac:dyDescent="0.25">
      <c r="A450" s="65"/>
      <c r="B450" s="65"/>
      <c r="C450" s="65"/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ht="14.25" customHeight="1" spans="1:26" x14ac:dyDescent="0.25">
      <c r="A451" s="65"/>
      <c r="B451" s="65"/>
      <c r="C451" s="65"/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ht="14.25" customHeight="1" spans="1:26" x14ac:dyDescent="0.25">
      <c r="A452" s="65"/>
      <c r="B452" s="65"/>
      <c r="C452" s="65"/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ht="14.25" customHeight="1" spans="1:26" x14ac:dyDescent="0.25">
      <c r="A453" s="65"/>
      <c r="B453" s="65"/>
      <c r="C453" s="65"/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ht="14.25" customHeight="1" spans="1:26" x14ac:dyDescent="0.25">
      <c r="A454" s="65"/>
      <c r="B454" s="65"/>
      <c r="C454" s="65"/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ht="14.25" customHeight="1" spans="1:26" x14ac:dyDescent="0.25">
      <c r="A455" s="65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ht="14.25" customHeight="1" spans="1:26" x14ac:dyDescent="0.25">
      <c r="A456" s="65"/>
      <c r="B456" s="65"/>
      <c r="C456" s="65"/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ht="14.25" customHeight="1" spans="1:26" x14ac:dyDescent="0.25">
      <c r="A457" s="65"/>
      <c r="B457" s="65"/>
      <c r="C457" s="65"/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ht="14.25" customHeight="1" spans="1:26" x14ac:dyDescent="0.25">
      <c r="A458" s="65"/>
      <c r="B458" s="65"/>
      <c r="C458" s="65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ht="14.25" customHeight="1" spans="1:26" x14ac:dyDescent="0.25">
      <c r="A459" s="65"/>
      <c r="B459" s="65"/>
      <c r="C459" s="65"/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ht="14.25" customHeight="1" spans="1:26" x14ac:dyDescent="0.25">
      <c r="A460" s="65"/>
      <c r="B460" s="65"/>
      <c r="C460" s="65"/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ht="14.25" customHeight="1" spans="1:26" x14ac:dyDescent="0.25">
      <c r="A461" s="65"/>
      <c r="B461" s="65"/>
      <c r="C461" s="65"/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ht="14.25" customHeight="1" spans="1:26" x14ac:dyDescent="0.25">
      <c r="A462" s="65"/>
      <c r="B462" s="65"/>
      <c r="C462" s="65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ht="14.25" customHeight="1" spans="1:26" x14ac:dyDescent="0.25">
      <c r="A463" s="65"/>
      <c r="B463" s="65"/>
      <c r="C463" s="65"/>
      <c r="D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ht="14.25" customHeight="1" spans="1:26" x14ac:dyDescent="0.25">
      <c r="A464" s="65"/>
      <c r="B464" s="65"/>
      <c r="C464" s="65"/>
      <c r="D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ht="14.25" customHeight="1" spans="1:26" x14ac:dyDescent="0.25">
      <c r="A465" s="65"/>
      <c r="B465" s="65"/>
      <c r="C465" s="65"/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ht="14.25" customHeight="1" spans="1:26" x14ac:dyDescent="0.25">
      <c r="A466" s="65"/>
      <c r="B466" s="65"/>
      <c r="C466" s="65"/>
      <c r="D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ht="14.25" customHeight="1" spans="1:26" x14ac:dyDescent="0.25">
      <c r="A467" s="65"/>
      <c r="B467" s="65"/>
      <c r="C467" s="65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ht="14.25" customHeight="1" spans="1:26" x14ac:dyDescent="0.25">
      <c r="A468" s="65"/>
      <c r="B468" s="65"/>
      <c r="C468" s="65"/>
      <c r="D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ht="14.25" customHeight="1" spans="1:26" x14ac:dyDescent="0.25">
      <c r="A469" s="65"/>
      <c r="B469" s="65"/>
      <c r="C469" s="65"/>
      <c r="D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ht="14.25" customHeight="1" spans="1:26" x14ac:dyDescent="0.25">
      <c r="A470" s="65"/>
      <c r="B470" s="65"/>
      <c r="C470" s="65"/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ht="14.25" customHeight="1" spans="1:26" x14ac:dyDescent="0.25">
      <c r="A471" s="65"/>
      <c r="B471" s="65"/>
      <c r="C471" s="65"/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ht="14.25" customHeight="1" spans="1:26" x14ac:dyDescent="0.25">
      <c r="A472" s="65"/>
      <c r="B472" s="65"/>
      <c r="C472" s="65"/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ht="14.25" customHeight="1" spans="1:26" x14ac:dyDescent="0.25">
      <c r="A473" s="65"/>
      <c r="B473" s="65"/>
      <c r="C473" s="65"/>
      <c r="D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ht="14.25" customHeight="1" spans="1:26" x14ac:dyDescent="0.25">
      <c r="A474" s="65"/>
      <c r="B474" s="65"/>
      <c r="C474" s="65"/>
      <c r="D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ht="14.25" customHeight="1" spans="1:26" x14ac:dyDescent="0.25">
      <c r="A475" s="65"/>
      <c r="B475" s="65"/>
      <c r="C475" s="65"/>
      <c r="D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ht="14.25" customHeight="1" spans="1:26" x14ac:dyDescent="0.25">
      <c r="A476" s="65"/>
      <c r="B476" s="65"/>
      <c r="C476" s="65"/>
      <c r="D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ht="14.25" customHeight="1" spans="1:26" x14ac:dyDescent="0.25">
      <c r="A477" s="65"/>
      <c r="B477" s="65"/>
      <c r="C477" s="65"/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ht="14.25" customHeight="1" spans="1:26" x14ac:dyDescent="0.25">
      <c r="A478" s="65"/>
      <c r="B478" s="65"/>
      <c r="C478" s="65"/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ht="14.25" customHeight="1" spans="1:26" x14ac:dyDescent="0.25">
      <c r="A479" s="65"/>
      <c r="B479" s="65"/>
      <c r="C479" s="65"/>
      <c r="D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ht="14.25" customHeight="1" spans="1:26" x14ac:dyDescent="0.25">
      <c r="A480" s="65"/>
      <c r="B480" s="65"/>
      <c r="C480" s="65"/>
      <c r="D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ht="14.25" customHeight="1" spans="1:26" x14ac:dyDescent="0.25">
      <c r="A481" s="65"/>
      <c r="B481" s="65"/>
      <c r="C481" s="65"/>
      <c r="D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ht="14.25" customHeight="1" spans="1:26" x14ac:dyDescent="0.25">
      <c r="A482" s="65"/>
      <c r="B482" s="65"/>
      <c r="C482" s="65"/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ht="14.25" customHeight="1" spans="1:26" x14ac:dyDescent="0.25">
      <c r="A483" s="65"/>
      <c r="B483" s="65"/>
      <c r="C483" s="65"/>
      <c r="D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ht="14.25" customHeight="1" spans="1:26" x14ac:dyDescent="0.25">
      <c r="A484" s="65"/>
      <c r="B484" s="65"/>
      <c r="C484" s="65"/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ht="14.25" customHeight="1" spans="1:26" x14ac:dyDescent="0.25">
      <c r="A485" s="65"/>
      <c r="B485" s="65"/>
      <c r="C485" s="65"/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ht="14.25" customHeight="1" spans="1:26" x14ac:dyDescent="0.25">
      <c r="A486" s="65"/>
      <c r="B486" s="65"/>
      <c r="C486" s="65"/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ht="14.25" customHeight="1" spans="1:26" x14ac:dyDescent="0.25">
      <c r="A487" s="65"/>
      <c r="B487" s="65"/>
      <c r="C487" s="65"/>
      <c r="D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ht="14.25" customHeight="1" spans="1:26" x14ac:dyDescent="0.25">
      <c r="A488" s="65"/>
      <c r="B488" s="65"/>
      <c r="C488" s="65"/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ht="14.25" customHeight="1" spans="1:26" x14ac:dyDescent="0.25">
      <c r="A489" s="65"/>
      <c r="B489" s="65"/>
      <c r="C489" s="65"/>
      <c r="D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ht="14.25" customHeight="1" spans="1:26" x14ac:dyDescent="0.25">
      <c r="A490" s="65"/>
      <c r="B490" s="65"/>
      <c r="C490" s="65"/>
      <c r="D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ht="14.25" customHeight="1" spans="1:26" x14ac:dyDescent="0.25">
      <c r="A491" s="65"/>
      <c r="B491" s="65"/>
      <c r="C491" s="65"/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ht="14.25" customHeight="1" spans="1:26" x14ac:dyDescent="0.25">
      <c r="A492" s="65"/>
      <c r="B492" s="65"/>
      <c r="C492" s="65"/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ht="14.25" customHeight="1" spans="1:26" x14ac:dyDescent="0.25">
      <c r="A493" s="65"/>
      <c r="B493" s="65"/>
      <c r="C493" s="65"/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ht="14.25" customHeight="1" spans="1:26" x14ac:dyDescent="0.25">
      <c r="A494" s="65"/>
      <c r="B494" s="65"/>
      <c r="C494" s="65"/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ht="14.25" customHeight="1" spans="1:26" x14ac:dyDescent="0.25">
      <c r="A495" s="65"/>
      <c r="B495" s="65"/>
      <c r="C495" s="65"/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ht="14.25" customHeight="1" spans="1:26" x14ac:dyDescent="0.25">
      <c r="A496" s="65"/>
      <c r="B496" s="65"/>
      <c r="C496" s="65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ht="14.25" customHeight="1" spans="1:26" x14ac:dyDescent="0.25">
      <c r="A497" s="65"/>
      <c r="B497" s="65"/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ht="14.25" customHeight="1" spans="1:26" x14ac:dyDescent="0.25">
      <c r="A498" s="65"/>
      <c r="B498" s="65"/>
      <c r="C498" s="65"/>
      <c r="D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ht="14.25" customHeight="1" spans="1:26" x14ac:dyDescent="0.25">
      <c r="A499" s="65"/>
      <c r="B499" s="65"/>
      <c r="C499" s="65"/>
      <c r="D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ht="14.25" customHeight="1" spans="1:26" x14ac:dyDescent="0.25">
      <c r="A500" s="65"/>
      <c r="B500" s="65"/>
      <c r="C500" s="65"/>
      <c r="D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ht="14.25" customHeight="1" spans="1:26" x14ac:dyDescent="0.25">
      <c r="A501" s="65"/>
      <c r="B501" s="65"/>
      <c r="C501" s="65"/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ht="14.25" customHeight="1" spans="1:26" x14ac:dyDescent="0.25">
      <c r="A502" s="65"/>
      <c r="B502" s="65"/>
      <c r="C502" s="65"/>
      <c r="D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ht="14.25" customHeight="1" spans="1:26" x14ac:dyDescent="0.25">
      <c r="A503" s="65"/>
      <c r="B503" s="65"/>
      <c r="C503" s="65"/>
      <c r="D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ht="14.25" customHeight="1" spans="1:26" x14ac:dyDescent="0.25">
      <c r="A504" s="65"/>
      <c r="B504" s="65"/>
      <c r="C504" s="65"/>
      <c r="D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ht="14.25" customHeight="1" spans="1:26" x14ac:dyDescent="0.25">
      <c r="A505" s="65"/>
      <c r="B505" s="65"/>
      <c r="C505" s="65"/>
      <c r="D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ht="14.25" customHeight="1" spans="1:26" x14ac:dyDescent="0.25">
      <c r="A506" s="65"/>
      <c r="B506" s="65"/>
      <c r="C506" s="65"/>
      <c r="D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ht="14.25" customHeight="1" spans="1:26" x14ac:dyDescent="0.25">
      <c r="A507" s="65"/>
      <c r="B507" s="65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ht="14.25" customHeight="1" spans="1:26" x14ac:dyDescent="0.25">
      <c r="A508" s="65"/>
      <c r="B508" s="65"/>
      <c r="C508" s="65"/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ht="14.25" customHeight="1" spans="1:26" x14ac:dyDescent="0.25">
      <c r="A509" s="65"/>
      <c r="B509" s="65"/>
      <c r="C509" s="65"/>
      <c r="D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ht="14.25" customHeight="1" spans="1:26" x14ac:dyDescent="0.25">
      <c r="A510" s="65"/>
      <c r="B510" s="65"/>
      <c r="C510" s="65"/>
      <c r="D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ht="14.25" customHeight="1" spans="1:26" x14ac:dyDescent="0.25">
      <c r="A511" s="65"/>
      <c r="B511" s="65"/>
      <c r="C511" s="65"/>
      <c r="D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ht="14.25" customHeight="1" spans="1:26" x14ac:dyDescent="0.25">
      <c r="A512" s="65"/>
      <c r="B512" s="65"/>
      <c r="C512" s="65"/>
      <c r="D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ht="14.25" customHeight="1" spans="1:26" x14ac:dyDescent="0.25">
      <c r="A513" s="65"/>
      <c r="B513" s="65"/>
      <c r="C513" s="65"/>
      <c r="D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ht="14.25" customHeight="1" spans="1:26" x14ac:dyDescent="0.25">
      <c r="A514" s="65"/>
      <c r="B514" s="65"/>
      <c r="C514" s="65"/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ht="14.25" customHeight="1" spans="1:26" x14ac:dyDescent="0.25">
      <c r="A515" s="65"/>
      <c r="B515" s="65"/>
      <c r="C515" s="65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ht="14.25" customHeight="1" spans="1:26" x14ac:dyDescent="0.25">
      <c r="A516" s="65"/>
      <c r="B516" s="65"/>
      <c r="C516" s="65"/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ht="14.25" customHeight="1" spans="1:26" x14ac:dyDescent="0.25">
      <c r="A517" s="65"/>
      <c r="B517" s="65"/>
      <c r="C517" s="65"/>
      <c r="D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ht="14.25" customHeight="1" spans="1:26" x14ac:dyDescent="0.25">
      <c r="A518" s="65"/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ht="14.25" customHeight="1" spans="1:26" x14ac:dyDescent="0.25">
      <c r="A519" s="65"/>
      <c r="B519" s="65"/>
      <c r="C519" s="65"/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ht="14.25" customHeight="1" spans="1:26" x14ac:dyDescent="0.25">
      <c r="A520" s="65"/>
      <c r="B520" s="65"/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ht="14.25" customHeight="1" spans="1:26" x14ac:dyDescent="0.25">
      <c r="A521" s="65"/>
      <c r="B521" s="65"/>
      <c r="C521" s="65"/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ht="14.25" customHeight="1" spans="1:26" x14ac:dyDescent="0.25">
      <c r="A522" s="65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ht="14.25" customHeight="1" spans="1:26" x14ac:dyDescent="0.25">
      <c r="A523" s="65"/>
      <c r="B523" s="65"/>
      <c r="C523" s="65"/>
      <c r="D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ht="14.25" customHeight="1" spans="1:26" x14ac:dyDescent="0.25">
      <c r="A524" s="65"/>
      <c r="B524" s="65"/>
      <c r="C524" s="65"/>
      <c r="D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ht="14.25" customHeight="1" spans="1:26" x14ac:dyDescent="0.25">
      <c r="A525" s="65"/>
      <c r="B525" s="65"/>
      <c r="C525" s="65"/>
      <c r="D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ht="14.25" customHeight="1" spans="1:26" x14ac:dyDescent="0.25">
      <c r="A526" s="65"/>
      <c r="B526" s="65"/>
      <c r="C526" s="65"/>
      <c r="D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ht="14.25" customHeight="1" spans="1:26" x14ac:dyDescent="0.25">
      <c r="A527" s="65"/>
      <c r="B527" s="65"/>
      <c r="C527" s="65"/>
      <c r="D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ht="14.25" customHeight="1" spans="1:26" x14ac:dyDescent="0.25">
      <c r="A528" s="65"/>
      <c r="B528" s="65"/>
      <c r="C528" s="65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ht="14.25" customHeight="1" spans="1:26" x14ac:dyDescent="0.25">
      <c r="A529" s="65"/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ht="14.25" customHeight="1" spans="1:26" x14ac:dyDescent="0.25">
      <c r="A530" s="65"/>
      <c r="B530" s="65"/>
      <c r="C530" s="65"/>
      <c r="D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ht="14.25" customHeight="1" spans="1:26" x14ac:dyDescent="0.25">
      <c r="A531" s="65"/>
      <c r="B531" s="65"/>
      <c r="C531" s="65"/>
      <c r="D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ht="14.25" customHeight="1" spans="1:26" x14ac:dyDescent="0.25">
      <c r="A532" s="65"/>
      <c r="B532" s="65"/>
      <c r="C532" s="65"/>
      <c r="D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ht="14.25" customHeight="1" spans="1:26" x14ac:dyDescent="0.25">
      <c r="A533" s="65"/>
      <c r="B533" s="65"/>
      <c r="C533" s="65"/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ht="14.25" customHeight="1" spans="1:26" x14ac:dyDescent="0.25">
      <c r="A534" s="65"/>
      <c r="B534" s="65"/>
      <c r="C534" s="65"/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ht="14.25" customHeight="1" spans="1:26" x14ac:dyDescent="0.25">
      <c r="A535" s="65"/>
      <c r="B535" s="65"/>
      <c r="C535" s="65"/>
      <c r="D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ht="14.25" customHeight="1" spans="1:26" x14ac:dyDescent="0.25">
      <c r="A536" s="65"/>
      <c r="B536" s="65"/>
      <c r="C536" s="65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ht="14.25" customHeight="1" spans="1:26" x14ac:dyDescent="0.25">
      <c r="A537" s="65"/>
      <c r="B537" s="65"/>
      <c r="C537" s="65"/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ht="14.25" customHeight="1" spans="1:26" x14ac:dyDescent="0.25">
      <c r="A538" s="65"/>
      <c r="B538" s="65"/>
      <c r="C538" s="65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ht="14.25" customHeight="1" spans="1:26" x14ac:dyDescent="0.25">
      <c r="A539" s="65"/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ht="14.25" customHeight="1" spans="1:26" x14ac:dyDescent="0.25">
      <c r="A540" s="65"/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ht="14.25" customHeight="1" spans="1:26" x14ac:dyDescent="0.25">
      <c r="A541" s="65"/>
      <c r="B541" s="65"/>
      <c r="C541" s="65"/>
      <c r="D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ht="14.25" customHeight="1" spans="1:26" x14ac:dyDescent="0.25">
      <c r="A542" s="65"/>
      <c r="B542" s="65"/>
      <c r="C542" s="65"/>
      <c r="D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ht="14.25" customHeight="1" spans="1:26" x14ac:dyDescent="0.25">
      <c r="A543" s="65"/>
      <c r="B543" s="65"/>
      <c r="C543" s="65"/>
      <c r="D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ht="14.25" customHeight="1" spans="1:26" x14ac:dyDescent="0.25">
      <c r="A544" s="65"/>
      <c r="B544" s="65"/>
      <c r="C544" s="65"/>
      <c r="D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ht="14.25" customHeight="1" spans="1:26" x14ac:dyDescent="0.25">
      <c r="A545" s="65"/>
      <c r="B545" s="65"/>
      <c r="C545" s="65"/>
      <c r="D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ht="14.25" customHeight="1" spans="1:26" x14ac:dyDescent="0.25">
      <c r="A546" s="65"/>
      <c r="B546" s="65"/>
      <c r="C546" s="65"/>
      <c r="D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ht="14.25" customHeight="1" spans="1:26" x14ac:dyDescent="0.25">
      <c r="A547" s="65"/>
      <c r="B547" s="65"/>
      <c r="C547" s="65"/>
      <c r="D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ht="14.25" customHeight="1" spans="1:26" x14ac:dyDescent="0.25">
      <c r="A548" s="65"/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ht="14.25" customHeight="1" spans="1:26" x14ac:dyDescent="0.25">
      <c r="A549" s="65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ht="14.25" customHeight="1" spans="1:26" x14ac:dyDescent="0.25">
      <c r="A550" s="65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ht="14.25" customHeight="1" spans="1:26" x14ac:dyDescent="0.25">
      <c r="A551" s="65"/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ht="14.25" customHeight="1" spans="1:26" x14ac:dyDescent="0.25">
      <c r="A552" s="65"/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ht="14.25" customHeight="1" spans="1:26" x14ac:dyDescent="0.25">
      <c r="A553" s="65"/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ht="14.25" customHeight="1" spans="1:26" x14ac:dyDescent="0.25">
      <c r="A554" s="65"/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ht="14.25" customHeight="1" spans="1:26" x14ac:dyDescent="0.25">
      <c r="A555" s="65"/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ht="14.25" customHeight="1" spans="1:26" x14ac:dyDescent="0.25">
      <c r="A556" s="65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ht="14.25" customHeight="1" spans="1:26" x14ac:dyDescent="0.25">
      <c r="A557" s="65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ht="14.25" customHeight="1" spans="1:26" x14ac:dyDescent="0.25">
      <c r="A558" s="65"/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ht="14.25" customHeight="1" spans="1:26" x14ac:dyDescent="0.25">
      <c r="A559" s="65"/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ht="14.25" customHeight="1" spans="1:26" x14ac:dyDescent="0.25">
      <c r="A560" s="65"/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ht="14.25" customHeight="1" spans="1:26" x14ac:dyDescent="0.25">
      <c r="A561" s="65"/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ht="14.25" customHeight="1" spans="1:26" x14ac:dyDescent="0.25">
      <c r="A562" s="65"/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ht="14.25" customHeight="1" spans="1:26" x14ac:dyDescent="0.25">
      <c r="A563" s="65"/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ht="14.25" customHeight="1" spans="1:26" x14ac:dyDescent="0.25">
      <c r="A564" s="65"/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ht="14.25" customHeight="1" spans="1:26" x14ac:dyDescent="0.25">
      <c r="A565" s="65"/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ht="14.25" customHeight="1" spans="1:26" x14ac:dyDescent="0.25">
      <c r="A566" s="65"/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ht="14.25" customHeight="1" spans="1:26" x14ac:dyDescent="0.25">
      <c r="A567" s="65"/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ht="14.25" customHeight="1" spans="1:26" x14ac:dyDescent="0.25">
      <c r="A568" s="65"/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ht="14.25" customHeight="1" spans="1:26" x14ac:dyDescent="0.25">
      <c r="A569" s="65"/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ht="14.25" customHeight="1" spans="1:26" x14ac:dyDescent="0.25">
      <c r="A570" s="65"/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ht="14.25" customHeight="1" spans="1:26" x14ac:dyDescent="0.25">
      <c r="A571" s="65"/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ht="14.25" customHeight="1" spans="1:26" x14ac:dyDescent="0.25">
      <c r="A572" s="65"/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ht="14.25" customHeight="1" spans="1:26" x14ac:dyDescent="0.25">
      <c r="A573" s="65"/>
      <c r="B573" s="65"/>
      <c r="C573" s="65"/>
      <c r="D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ht="14.25" customHeight="1" spans="1:26" x14ac:dyDescent="0.25">
      <c r="A574" s="65"/>
      <c r="B574" s="65"/>
      <c r="C574" s="65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ht="14.25" customHeight="1" spans="1:26" x14ac:dyDescent="0.25">
      <c r="A575" s="65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ht="14.25" customHeight="1" spans="1:26" x14ac:dyDescent="0.25">
      <c r="A576" s="65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ht="14.25" customHeight="1" spans="1:26" x14ac:dyDescent="0.25">
      <c r="A577" s="65"/>
      <c r="B577" s="65"/>
      <c r="C577" s="65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ht="14.25" customHeight="1" spans="1:26" x14ac:dyDescent="0.25">
      <c r="A578" s="65"/>
      <c r="B578" s="65"/>
      <c r="C578" s="65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ht="14.25" customHeight="1" spans="1:26" x14ac:dyDescent="0.25">
      <c r="A579" s="65"/>
      <c r="B579" s="65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ht="14.25" customHeight="1" spans="1:26" x14ac:dyDescent="0.25">
      <c r="A580" s="65"/>
      <c r="B580" s="65"/>
      <c r="C580" s="65"/>
      <c r="D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ht="14.25" customHeight="1" spans="1:26" x14ac:dyDescent="0.25">
      <c r="A581" s="65"/>
      <c r="B581" s="65"/>
      <c r="C581" s="65"/>
      <c r="D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ht="14.25" customHeight="1" spans="1:26" x14ac:dyDescent="0.25">
      <c r="A582" s="65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ht="14.25" customHeight="1" spans="1:26" x14ac:dyDescent="0.25">
      <c r="A583" s="65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ht="14.25" customHeight="1" spans="1:26" x14ac:dyDescent="0.25">
      <c r="A584" s="65"/>
      <c r="B584" s="65"/>
      <c r="C584" s="65"/>
      <c r="D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ht="14.25" customHeight="1" spans="1:26" x14ac:dyDescent="0.25">
      <c r="A585" s="65"/>
      <c r="B585" s="65"/>
      <c r="C585" s="65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ht="14.25" customHeight="1" spans="1:26" x14ac:dyDescent="0.25">
      <c r="A586" s="65"/>
      <c r="B586" s="65"/>
      <c r="C586" s="65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ht="14.25" customHeight="1" spans="1:26" x14ac:dyDescent="0.25">
      <c r="A587" s="65"/>
      <c r="B587" s="65"/>
      <c r="C587" s="65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ht="14.25" customHeight="1" spans="1:26" x14ac:dyDescent="0.25">
      <c r="A588" s="65"/>
      <c r="B588" s="65"/>
      <c r="C588" s="65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ht="14.25" customHeight="1" spans="1:26" x14ac:dyDescent="0.25">
      <c r="A589" s="65"/>
      <c r="B589" s="65"/>
      <c r="C589" s="65"/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ht="14.25" customHeight="1" spans="1:26" x14ac:dyDescent="0.25">
      <c r="A590" s="65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ht="14.25" customHeight="1" spans="1:26" x14ac:dyDescent="0.25">
      <c r="A591" s="65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ht="14.25" customHeight="1" spans="1:26" x14ac:dyDescent="0.25">
      <c r="A592" s="65"/>
      <c r="B592" s="65"/>
      <c r="C592" s="65"/>
      <c r="D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ht="14.25" customHeight="1" spans="1:26" x14ac:dyDescent="0.25">
      <c r="A593" s="65"/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ht="14.25" customHeight="1" spans="1:26" x14ac:dyDescent="0.25">
      <c r="A594" s="65"/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ht="14.25" customHeight="1" spans="1:26" x14ac:dyDescent="0.25">
      <c r="A595" s="65"/>
      <c r="B595" s="65"/>
      <c r="C595" s="65"/>
      <c r="D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ht="14.25" customHeight="1" spans="1:26" x14ac:dyDescent="0.25">
      <c r="A596" s="65"/>
      <c r="B596" s="65"/>
      <c r="C596" s="65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ht="14.25" customHeight="1" spans="1:26" x14ac:dyDescent="0.25">
      <c r="A597" s="65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ht="14.25" customHeight="1" spans="1:26" x14ac:dyDescent="0.25">
      <c r="A598" s="65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ht="14.25" customHeight="1" spans="1:26" x14ac:dyDescent="0.25">
      <c r="A599" s="65"/>
      <c r="B599" s="65"/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ht="14.25" customHeight="1" spans="1:26" x14ac:dyDescent="0.25">
      <c r="A600" s="65"/>
      <c r="B600" s="65"/>
      <c r="C600" s="65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ht="14.25" customHeight="1" spans="1:26" x14ac:dyDescent="0.25">
      <c r="A601" s="65"/>
      <c r="B601" s="65"/>
      <c r="C601" s="65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ht="14.25" customHeight="1" spans="1:26" x14ac:dyDescent="0.25">
      <c r="A602" s="65"/>
      <c r="B602" s="65"/>
      <c r="C602" s="65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ht="14.25" customHeight="1" spans="1:26" x14ac:dyDescent="0.25">
      <c r="A603" s="65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ht="14.25" customHeight="1" spans="1:26" x14ac:dyDescent="0.25">
      <c r="A604" s="65"/>
      <c r="B604" s="65"/>
      <c r="C604" s="65"/>
      <c r="D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ht="14.25" customHeight="1" spans="1:26" x14ac:dyDescent="0.25">
      <c r="A605" s="65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ht="14.25" customHeight="1" spans="1:26" x14ac:dyDescent="0.25">
      <c r="A606" s="65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ht="14.25" customHeight="1" spans="1:26" x14ac:dyDescent="0.25">
      <c r="A607" s="65"/>
      <c r="B607" s="65"/>
      <c r="C607" s="65"/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ht="14.25" customHeight="1" spans="1:26" x14ac:dyDescent="0.25">
      <c r="A608" s="65"/>
      <c r="B608" s="65"/>
      <c r="C608" s="65"/>
      <c r="D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ht="14.25" customHeight="1" spans="1:26" x14ac:dyDescent="0.25">
      <c r="A609" s="65"/>
      <c r="B609" s="65"/>
      <c r="C609" s="65"/>
      <c r="D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ht="14.25" customHeight="1" spans="1:26" x14ac:dyDescent="0.25">
      <c r="A610" s="65"/>
      <c r="B610" s="65"/>
      <c r="C610" s="65"/>
      <c r="D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ht="14.25" customHeight="1" spans="1:26" x14ac:dyDescent="0.25">
      <c r="A611" s="65"/>
      <c r="B611" s="65"/>
      <c r="C611" s="65"/>
      <c r="D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ht="14.25" customHeight="1" spans="1:26" x14ac:dyDescent="0.25">
      <c r="A612" s="65"/>
      <c r="B612" s="65"/>
      <c r="C612" s="65"/>
      <c r="D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ht="14.25" customHeight="1" spans="1:26" x14ac:dyDescent="0.25">
      <c r="A613" s="65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ht="14.25" customHeight="1" spans="1:26" x14ac:dyDescent="0.25">
      <c r="A614" s="65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ht="14.25" customHeight="1" spans="1:26" x14ac:dyDescent="0.25">
      <c r="A615" s="65"/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ht="14.25" customHeight="1" spans="1:26" x14ac:dyDescent="0.25">
      <c r="A616" s="65"/>
      <c r="B616" s="65"/>
      <c r="C616" s="65"/>
      <c r="D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ht="14.25" customHeight="1" spans="1:26" x14ac:dyDescent="0.25">
      <c r="A617" s="65"/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ht="14.25" customHeight="1" spans="1:26" x14ac:dyDescent="0.25">
      <c r="A618" s="65"/>
      <c r="B618" s="65"/>
      <c r="C618" s="65"/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ht="14.25" customHeight="1" spans="1:26" x14ac:dyDescent="0.25">
      <c r="A619" s="65"/>
      <c r="B619" s="65"/>
      <c r="C619" s="65"/>
      <c r="D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ht="14.25" customHeight="1" spans="1:26" x14ac:dyDescent="0.25">
      <c r="A620" s="65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ht="14.25" customHeight="1" spans="1:26" x14ac:dyDescent="0.25">
      <c r="A621" s="65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ht="14.25" customHeight="1" spans="1:26" x14ac:dyDescent="0.25">
      <c r="A622" s="65"/>
      <c r="B622" s="65"/>
      <c r="C622" s="65"/>
      <c r="D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ht="14.25" customHeight="1" spans="1:26" x14ac:dyDescent="0.25">
      <c r="A623" s="65"/>
      <c r="B623" s="65"/>
      <c r="C623" s="65"/>
      <c r="D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ht="14.25" customHeight="1" spans="1:26" x14ac:dyDescent="0.25">
      <c r="A624" s="65"/>
      <c r="B624" s="65"/>
      <c r="C624" s="65"/>
      <c r="D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ht="14.25" customHeight="1" spans="1:26" x14ac:dyDescent="0.25">
      <c r="A625" s="65"/>
      <c r="B625" s="65"/>
      <c r="C625" s="65"/>
      <c r="D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ht="14.25" customHeight="1" spans="1:26" x14ac:dyDescent="0.25">
      <c r="A626" s="65"/>
      <c r="B626" s="65"/>
      <c r="C626" s="65"/>
      <c r="D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ht="14.25" customHeight="1" spans="1:26" x14ac:dyDescent="0.25">
      <c r="A627" s="65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ht="14.25" customHeight="1" spans="1:26" x14ac:dyDescent="0.25">
      <c r="A628" s="65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ht="14.25" customHeight="1" spans="1:26" x14ac:dyDescent="0.25">
      <c r="A629" s="65"/>
      <c r="B629" s="65"/>
      <c r="C629" s="65"/>
      <c r="D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ht="14.25" customHeight="1" spans="1:26" x14ac:dyDescent="0.25">
      <c r="A630" s="65"/>
      <c r="B630" s="65"/>
      <c r="C630" s="65"/>
      <c r="D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ht="14.25" customHeight="1" spans="1:26" x14ac:dyDescent="0.25">
      <c r="A631" s="65"/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ht="14.25" customHeight="1" spans="1:26" x14ac:dyDescent="0.25">
      <c r="A632" s="65"/>
      <c r="B632" s="65"/>
      <c r="C632" s="65"/>
      <c r="D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ht="14.25" customHeight="1" spans="1:26" x14ac:dyDescent="0.25">
      <c r="A633" s="65"/>
      <c r="B633" s="65"/>
      <c r="C633" s="65"/>
      <c r="D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ht="14.25" customHeight="1" spans="1:26" x14ac:dyDescent="0.25">
      <c r="A634" s="65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ht="14.25" customHeight="1" spans="1:26" x14ac:dyDescent="0.25">
      <c r="A635" s="65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ht="14.25" customHeight="1" spans="1:26" x14ac:dyDescent="0.25">
      <c r="A636" s="65"/>
      <c r="B636" s="65"/>
      <c r="C636" s="65"/>
      <c r="D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ht="14.25" customHeight="1" spans="1:26" x14ac:dyDescent="0.25">
      <c r="A637" s="65"/>
      <c r="B637" s="65"/>
      <c r="C637" s="65"/>
      <c r="D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ht="14.25" customHeight="1" spans="1:26" x14ac:dyDescent="0.25">
      <c r="A638" s="65"/>
      <c r="B638" s="65"/>
      <c r="C638" s="65"/>
      <c r="D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ht="14.25" customHeight="1" spans="1:26" x14ac:dyDescent="0.25">
      <c r="A639" s="65"/>
      <c r="B639" s="65"/>
      <c r="C639" s="65"/>
      <c r="D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ht="14.25" customHeight="1" spans="1:26" x14ac:dyDescent="0.25">
      <c r="A640" s="65"/>
      <c r="B640" s="65"/>
      <c r="C640" s="65"/>
      <c r="D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ht="14.25" customHeight="1" spans="1:26" x14ac:dyDescent="0.25">
      <c r="A641" s="65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ht="14.25" customHeight="1" spans="1:26" x14ac:dyDescent="0.25">
      <c r="A642" s="65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ht="14.25" customHeight="1" spans="1:26" x14ac:dyDescent="0.25">
      <c r="A643" s="65"/>
      <c r="B643" s="65"/>
      <c r="C643" s="65"/>
      <c r="D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ht="14.25" customHeight="1" spans="1:26" x14ac:dyDescent="0.25">
      <c r="A644" s="65"/>
      <c r="B644" s="65"/>
      <c r="C644" s="65"/>
      <c r="D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ht="14.25" customHeight="1" spans="1:26" x14ac:dyDescent="0.25">
      <c r="A645" s="65"/>
      <c r="B645" s="65"/>
      <c r="C645" s="65"/>
      <c r="D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ht="14.25" customHeight="1" spans="1:26" x14ac:dyDescent="0.25">
      <c r="A646" s="65"/>
      <c r="B646" s="65"/>
      <c r="C646" s="65"/>
      <c r="D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ht="14.25" customHeight="1" spans="1:26" x14ac:dyDescent="0.25">
      <c r="A647" s="65"/>
      <c r="B647" s="65"/>
      <c r="C647" s="65"/>
      <c r="D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ht="14.25" customHeight="1" spans="1:26" x14ac:dyDescent="0.25">
      <c r="A648" s="65"/>
      <c r="B648" s="65"/>
      <c r="C648" s="65"/>
      <c r="D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ht="14.25" customHeight="1" spans="1:26" x14ac:dyDescent="0.25">
      <c r="A649" s="65"/>
      <c r="B649" s="65"/>
      <c r="C649" s="65"/>
      <c r="D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ht="14.25" customHeight="1" spans="1:26" x14ac:dyDescent="0.25">
      <c r="A650" s="65"/>
      <c r="B650" s="65"/>
      <c r="C650" s="65"/>
      <c r="D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ht="14.25" customHeight="1" spans="1:26" x14ac:dyDescent="0.25">
      <c r="A651" s="65"/>
      <c r="B651" s="65"/>
      <c r="C651" s="65"/>
      <c r="D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ht="14.25" customHeight="1" spans="1:26" x14ac:dyDescent="0.25">
      <c r="A652" s="65"/>
      <c r="B652" s="65"/>
      <c r="C652" s="65"/>
      <c r="D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ht="14.25" customHeight="1" spans="1:26" x14ac:dyDescent="0.25">
      <c r="A653" s="65"/>
      <c r="B653" s="65"/>
      <c r="C653" s="65"/>
      <c r="D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ht="14.25" customHeight="1" spans="1:26" x14ac:dyDescent="0.25">
      <c r="A654" s="65"/>
      <c r="B654" s="65"/>
      <c r="C654" s="65"/>
      <c r="D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ht="14.25" customHeight="1" spans="1:26" x14ac:dyDescent="0.25">
      <c r="A655" s="65"/>
      <c r="B655" s="65"/>
      <c r="C655" s="65"/>
      <c r="D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ht="14.25" customHeight="1" spans="1:26" x14ac:dyDescent="0.25">
      <c r="A656" s="65"/>
      <c r="B656" s="65"/>
      <c r="C656" s="65"/>
      <c r="D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ht="14.25" customHeight="1" spans="1:26" x14ac:dyDescent="0.25">
      <c r="A657" s="65"/>
      <c r="B657" s="65"/>
      <c r="C657" s="65"/>
      <c r="D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ht="14.25" customHeight="1" spans="1:26" x14ac:dyDescent="0.25">
      <c r="A658" s="65"/>
      <c r="B658" s="65"/>
      <c r="C658" s="65"/>
      <c r="D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ht="14.25" customHeight="1" spans="1:26" x14ac:dyDescent="0.25">
      <c r="A659" s="65"/>
      <c r="B659" s="65"/>
      <c r="C659" s="65"/>
      <c r="D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ht="14.25" customHeight="1" spans="1:26" x14ac:dyDescent="0.25">
      <c r="A660" s="65"/>
      <c r="B660" s="65"/>
      <c r="C660" s="65"/>
      <c r="D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ht="14.25" customHeight="1" spans="1:26" x14ac:dyDescent="0.25">
      <c r="A661" s="65"/>
      <c r="B661" s="65"/>
      <c r="C661" s="65"/>
      <c r="D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ht="14.25" customHeight="1" spans="1:26" x14ac:dyDescent="0.25">
      <c r="A662" s="65"/>
      <c r="B662" s="65"/>
      <c r="C662" s="65"/>
      <c r="D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ht="14.25" customHeight="1" spans="1:26" x14ac:dyDescent="0.25">
      <c r="A663" s="65"/>
      <c r="B663" s="65"/>
      <c r="C663" s="65"/>
      <c r="D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ht="14.25" customHeight="1" spans="1:26" x14ac:dyDescent="0.25">
      <c r="A664" s="65"/>
      <c r="B664" s="65"/>
      <c r="C664" s="65"/>
      <c r="D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ht="14.25" customHeight="1" spans="1:26" x14ac:dyDescent="0.25">
      <c r="A665" s="65"/>
      <c r="B665" s="65"/>
      <c r="C665" s="65"/>
      <c r="D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ht="14.25" customHeight="1" spans="1:26" x14ac:dyDescent="0.25">
      <c r="A666" s="65"/>
      <c r="B666" s="65"/>
      <c r="C666" s="65"/>
      <c r="D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ht="14.25" customHeight="1" spans="1:26" x14ac:dyDescent="0.25">
      <c r="A667" s="65"/>
      <c r="B667" s="65"/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ht="14.25" customHeight="1" spans="1:26" x14ac:dyDescent="0.25">
      <c r="A668" s="65"/>
      <c r="B668" s="65"/>
      <c r="C668" s="65"/>
      <c r="D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ht="14.25" customHeight="1" spans="1:26" x14ac:dyDescent="0.25">
      <c r="A669" s="65"/>
      <c r="B669" s="65"/>
      <c r="C669" s="65"/>
      <c r="D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ht="14.25" customHeight="1" spans="1:26" x14ac:dyDescent="0.25">
      <c r="A670" s="65"/>
      <c r="B670" s="65"/>
      <c r="C670" s="65"/>
      <c r="D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ht="14.25" customHeight="1" spans="1:26" x14ac:dyDescent="0.25">
      <c r="A671" s="65"/>
      <c r="B671" s="65"/>
      <c r="C671" s="65"/>
      <c r="D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ht="14.25" customHeight="1" spans="1:26" x14ac:dyDescent="0.25">
      <c r="A672" s="65"/>
      <c r="B672" s="65"/>
      <c r="C672" s="65"/>
      <c r="D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ht="14.25" customHeight="1" spans="1:26" x14ac:dyDescent="0.25">
      <c r="A673" s="65"/>
      <c r="B673" s="65"/>
      <c r="C673" s="65"/>
      <c r="D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ht="14.25" customHeight="1" spans="1:26" x14ac:dyDescent="0.25">
      <c r="A674" s="65"/>
      <c r="B674" s="65"/>
      <c r="C674" s="65"/>
      <c r="D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ht="14.25" customHeight="1" spans="1:26" x14ac:dyDescent="0.25">
      <c r="A675" s="65"/>
      <c r="B675" s="65"/>
      <c r="C675" s="65"/>
      <c r="D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ht="14.25" customHeight="1" spans="1:26" x14ac:dyDescent="0.25">
      <c r="A676" s="65"/>
      <c r="B676" s="65"/>
      <c r="C676" s="65"/>
      <c r="D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ht="14.25" customHeight="1" spans="1:26" x14ac:dyDescent="0.25">
      <c r="A677" s="65"/>
      <c r="B677" s="65"/>
      <c r="C677" s="65"/>
      <c r="D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ht="14.25" customHeight="1" spans="1:26" x14ac:dyDescent="0.25">
      <c r="A678" s="65"/>
      <c r="B678" s="65"/>
      <c r="C678" s="65"/>
      <c r="D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ht="14.25" customHeight="1" spans="1:26" x14ac:dyDescent="0.25">
      <c r="A679" s="65"/>
      <c r="B679" s="65"/>
      <c r="C679" s="65"/>
      <c r="D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ht="14.25" customHeight="1" spans="1:26" x14ac:dyDescent="0.25">
      <c r="A680" s="65"/>
      <c r="B680" s="65"/>
      <c r="C680" s="65"/>
      <c r="D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ht="14.25" customHeight="1" spans="1:26" x14ac:dyDescent="0.25">
      <c r="A681" s="65"/>
      <c r="B681" s="65"/>
      <c r="C681" s="65"/>
      <c r="D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ht="14.25" customHeight="1" spans="1:26" x14ac:dyDescent="0.25">
      <c r="A682" s="65"/>
      <c r="B682" s="65"/>
      <c r="C682" s="65"/>
      <c r="D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ht="14.25" customHeight="1" spans="1:26" x14ac:dyDescent="0.25">
      <c r="A683" s="65"/>
      <c r="B683" s="65"/>
      <c r="C683" s="65"/>
      <c r="D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ht="14.25" customHeight="1" spans="1:26" x14ac:dyDescent="0.25">
      <c r="A684" s="65"/>
      <c r="B684" s="65"/>
      <c r="C684" s="65"/>
      <c r="D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ht="14.25" customHeight="1" spans="1:26" x14ac:dyDescent="0.25">
      <c r="A685" s="65"/>
      <c r="B685" s="65"/>
      <c r="C685" s="65"/>
      <c r="D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ht="14.25" customHeight="1" spans="1:26" x14ac:dyDescent="0.25">
      <c r="A686" s="65"/>
      <c r="B686" s="65"/>
      <c r="C686" s="65"/>
      <c r="D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ht="14.25" customHeight="1" spans="1:26" x14ac:dyDescent="0.25">
      <c r="A687" s="65"/>
      <c r="B687" s="65"/>
      <c r="C687" s="65"/>
      <c r="D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ht="14.25" customHeight="1" spans="1:26" x14ac:dyDescent="0.25">
      <c r="A688" s="65"/>
      <c r="B688" s="65"/>
      <c r="C688" s="65"/>
      <c r="D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ht="14.25" customHeight="1" spans="1:26" x14ac:dyDescent="0.25">
      <c r="A689" s="65"/>
      <c r="B689" s="65"/>
      <c r="C689" s="65"/>
      <c r="D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ht="14.25" customHeight="1" spans="1:26" x14ac:dyDescent="0.25">
      <c r="A690" s="65"/>
      <c r="B690" s="65"/>
      <c r="C690" s="65"/>
      <c r="D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ht="14.25" customHeight="1" spans="1:26" x14ac:dyDescent="0.25">
      <c r="A691" s="65"/>
      <c r="B691" s="65"/>
      <c r="C691" s="65"/>
      <c r="D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ht="14.25" customHeight="1" spans="1:26" x14ac:dyDescent="0.25">
      <c r="A692" s="65"/>
      <c r="B692" s="65"/>
      <c r="C692" s="65"/>
      <c r="D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ht="14.25" customHeight="1" spans="1:26" x14ac:dyDescent="0.25">
      <c r="A693" s="65"/>
      <c r="B693" s="65"/>
      <c r="C693" s="65"/>
      <c r="D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ht="14.25" customHeight="1" spans="1:26" x14ac:dyDescent="0.25">
      <c r="A694" s="65"/>
      <c r="B694" s="65"/>
      <c r="C694" s="65"/>
      <c r="D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ht="14.25" customHeight="1" spans="1:26" x14ac:dyDescent="0.25">
      <c r="A695" s="65"/>
      <c r="B695" s="65"/>
      <c r="C695" s="65"/>
      <c r="D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ht="14.25" customHeight="1" spans="1:26" x14ac:dyDescent="0.25">
      <c r="A696" s="65"/>
      <c r="B696" s="65"/>
      <c r="C696" s="65"/>
      <c r="D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ht="14.25" customHeight="1" spans="1:26" x14ac:dyDescent="0.25">
      <c r="A697" s="65"/>
      <c r="B697" s="65"/>
      <c r="C697" s="65"/>
      <c r="D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ht="14.25" customHeight="1" spans="1:26" x14ac:dyDescent="0.25">
      <c r="A698" s="65"/>
      <c r="B698" s="65"/>
      <c r="C698" s="65"/>
      <c r="D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ht="14.25" customHeight="1" spans="1:26" x14ac:dyDescent="0.25">
      <c r="A699" s="65"/>
      <c r="B699" s="65"/>
      <c r="C699" s="65"/>
      <c r="D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ht="14.25" customHeight="1" spans="1:26" x14ac:dyDescent="0.25">
      <c r="A700" s="65"/>
      <c r="B700" s="65"/>
      <c r="C700" s="65"/>
      <c r="D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ht="14.25" customHeight="1" spans="1:26" x14ac:dyDescent="0.25">
      <c r="A701" s="65"/>
      <c r="B701" s="65"/>
      <c r="C701" s="65"/>
      <c r="D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ht="14.25" customHeight="1" spans="1:26" x14ac:dyDescent="0.25">
      <c r="A702" s="65"/>
      <c r="B702" s="65"/>
      <c r="C702" s="65"/>
      <c r="D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ht="14.25" customHeight="1" spans="1:26" x14ac:dyDescent="0.25">
      <c r="A703" s="65"/>
      <c r="B703" s="65"/>
      <c r="C703" s="65"/>
      <c r="D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ht="14.25" customHeight="1" spans="1:26" x14ac:dyDescent="0.25">
      <c r="A704" s="65"/>
      <c r="B704" s="65"/>
      <c r="C704" s="65"/>
      <c r="D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ht="14.25" customHeight="1" spans="1:26" x14ac:dyDescent="0.25">
      <c r="A705" s="65"/>
      <c r="B705" s="65"/>
      <c r="C705" s="65"/>
      <c r="D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ht="14.25" customHeight="1" spans="1:26" x14ac:dyDescent="0.25">
      <c r="A706" s="65"/>
      <c r="B706" s="65"/>
      <c r="C706" s="65"/>
      <c r="D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ht="14.25" customHeight="1" spans="1:26" x14ac:dyDescent="0.25">
      <c r="A707" s="65"/>
      <c r="B707" s="65"/>
      <c r="C707" s="65"/>
      <c r="D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ht="14.25" customHeight="1" spans="1:26" x14ac:dyDescent="0.25">
      <c r="A708" s="65"/>
      <c r="B708" s="65"/>
      <c r="C708" s="65"/>
      <c r="D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ht="14.25" customHeight="1" spans="1:26" x14ac:dyDescent="0.25">
      <c r="A709" s="65"/>
      <c r="B709" s="65"/>
      <c r="C709" s="65"/>
      <c r="D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ht="14.25" customHeight="1" spans="1:26" x14ac:dyDescent="0.25">
      <c r="A710" s="65"/>
      <c r="B710" s="65"/>
      <c r="C710" s="65"/>
      <c r="D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ht="14.25" customHeight="1" spans="1:26" x14ac:dyDescent="0.25">
      <c r="A711" s="65"/>
      <c r="B711" s="65"/>
      <c r="C711" s="65"/>
      <c r="D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ht="14.25" customHeight="1" spans="1:26" x14ac:dyDescent="0.25">
      <c r="A712" s="65"/>
      <c r="B712" s="65"/>
      <c r="C712" s="65"/>
      <c r="D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ht="14.25" customHeight="1" spans="1:26" x14ac:dyDescent="0.25">
      <c r="A713" s="65"/>
      <c r="B713" s="65"/>
      <c r="C713" s="65"/>
      <c r="D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ht="14.25" customHeight="1" spans="1:26" x14ac:dyDescent="0.25">
      <c r="A714" s="65"/>
      <c r="B714" s="65"/>
      <c r="C714" s="65"/>
      <c r="D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ht="14.25" customHeight="1" spans="1:26" x14ac:dyDescent="0.25">
      <c r="A715" s="65"/>
      <c r="B715" s="65"/>
      <c r="C715" s="65"/>
      <c r="D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ht="14.25" customHeight="1" spans="1:26" x14ac:dyDescent="0.25">
      <c r="A716" s="65"/>
      <c r="B716" s="65"/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ht="14.25" customHeight="1" spans="1:26" x14ac:dyDescent="0.25">
      <c r="A717" s="65"/>
      <c r="B717" s="65"/>
      <c r="C717" s="65"/>
      <c r="D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ht="14.25" customHeight="1" spans="1:26" x14ac:dyDescent="0.25">
      <c r="A718" s="65"/>
      <c r="B718" s="65"/>
      <c r="C718" s="65"/>
      <c r="D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ht="14.25" customHeight="1" spans="1:26" x14ac:dyDescent="0.25">
      <c r="A719" s="65"/>
      <c r="B719" s="65"/>
      <c r="C719" s="65"/>
      <c r="D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ht="14.25" customHeight="1" spans="1:26" x14ac:dyDescent="0.25">
      <c r="A720" s="65"/>
      <c r="B720" s="65"/>
      <c r="C720" s="65"/>
      <c r="D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ht="14.25" customHeight="1" spans="1:26" x14ac:dyDescent="0.25">
      <c r="A721" s="65"/>
      <c r="B721" s="65"/>
      <c r="C721" s="65"/>
      <c r="D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ht="14.25" customHeight="1" spans="1:26" x14ac:dyDescent="0.25">
      <c r="A722" s="65"/>
      <c r="B722" s="65"/>
      <c r="C722" s="65"/>
      <c r="D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ht="14.25" customHeight="1" spans="1:26" x14ac:dyDescent="0.25">
      <c r="A723" s="65"/>
      <c r="B723" s="65"/>
      <c r="C723" s="65"/>
      <c r="D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ht="14.25" customHeight="1" spans="1:26" x14ac:dyDescent="0.25">
      <c r="A724" s="65"/>
      <c r="B724" s="65"/>
      <c r="C724" s="65"/>
      <c r="D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ht="14.25" customHeight="1" spans="1:26" x14ac:dyDescent="0.25">
      <c r="A725" s="65"/>
      <c r="B725" s="65"/>
      <c r="C725" s="65"/>
      <c r="D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ht="14.25" customHeight="1" spans="1:26" x14ac:dyDescent="0.25">
      <c r="A726" s="65"/>
      <c r="B726" s="65"/>
      <c r="C726" s="65"/>
      <c r="D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ht="14.25" customHeight="1" spans="1:26" x14ac:dyDescent="0.25">
      <c r="A727" s="65"/>
      <c r="B727" s="65"/>
      <c r="C727" s="65"/>
      <c r="D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ht="14.25" customHeight="1" spans="1:26" x14ac:dyDescent="0.25">
      <c r="A728" s="65"/>
      <c r="B728" s="65"/>
      <c r="C728" s="65"/>
      <c r="D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ht="14.25" customHeight="1" spans="1:26" x14ac:dyDescent="0.25">
      <c r="A729" s="65"/>
      <c r="B729" s="65"/>
      <c r="C729" s="65"/>
      <c r="D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ht="14.25" customHeight="1" spans="1:26" x14ac:dyDescent="0.25">
      <c r="A730" s="65"/>
      <c r="B730" s="65"/>
      <c r="C730" s="65"/>
      <c r="D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ht="14.25" customHeight="1" spans="1:26" x14ac:dyDescent="0.25">
      <c r="A731" s="65"/>
      <c r="B731" s="65"/>
      <c r="C731" s="65"/>
      <c r="D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ht="14.25" customHeight="1" spans="1:26" x14ac:dyDescent="0.25">
      <c r="A732" s="65"/>
      <c r="B732" s="65"/>
      <c r="C732" s="65"/>
      <c r="D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ht="14.25" customHeight="1" spans="1:26" x14ac:dyDescent="0.25">
      <c r="A733" s="65"/>
      <c r="B733" s="65"/>
      <c r="C733" s="65"/>
      <c r="D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ht="14.25" customHeight="1" spans="1:26" x14ac:dyDescent="0.25">
      <c r="A734" s="65"/>
      <c r="B734" s="65"/>
      <c r="C734" s="65"/>
      <c r="D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ht="14.25" customHeight="1" spans="1:26" x14ac:dyDescent="0.25">
      <c r="A735" s="65"/>
      <c r="B735" s="65"/>
      <c r="C735" s="65"/>
      <c r="D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ht="14.25" customHeight="1" spans="1:26" x14ac:dyDescent="0.25">
      <c r="A736" s="65"/>
      <c r="B736" s="65"/>
      <c r="C736" s="65"/>
      <c r="D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ht="14.25" customHeight="1" spans="1:26" x14ac:dyDescent="0.25">
      <c r="A737" s="65"/>
      <c r="B737" s="65"/>
      <c r="C737" s="65"/>
      <c r="D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ht="14.25" customHeight="1" spans="1:26" x14ac:dyDescent="0.25">
      <c r="A738" s="65"/>
      <c r="B738" s="65"/>
      <c r="C738" s="65"/>
      <c r="D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ht="14.25" customHeight="1" spans="1:26" x14ac:dyDescent="0.25">
      <c r="A739" s="65"/>
      <c r="B739" s="65"/>
      <c r="C739" s="65"/>
      <c r="D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ht="14.25" customHeight="1" spans="1:26" x14ac:dyDescent="0.25">
      <c r="A740" s="65"/>
      <c r="B740" s="65"/>
      <c r="C740" s="65"/>
      <c r="D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ht="14.25" customHeight="1" spans="1:26" x14ac:dyDescent="0.25">
      <c r="A741" s="65"/>
      <c r="B741" s="65"/>
      <c r="C741" s="65"/>
      <c r="D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ht="14.25" customHeight="1" spans="1:26" x14ac:dyDescent="0.25">
      <c r="A742" s="65"/>
      <c r="B742" s="65"/>
      <c r="C742" s="65"/>
      <c r="D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ht="14.25" customHeight="1" spans="1:26" x14ac:dyDescent="0.25">
      <c r="A743" s="65"/>
      <c r="B743" s="65"/>
      <c r="C743" s="65"/>
      <c r="D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ht="14.25" customHeight="1" spans="1:26" x14ac:dyDescent="0.25">
      <c r="A744" s="65"/>
      <c r="B744" s="65"/>
      <c r="C744" s="65"/>
      <c r="D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ht="14.25" customHeight="1" spans="1:26" x14ac:dyDescent="0.25">
      <c r="A745" s="65"/>
      <c r="B745" s="65"/>
      <c r="C745" s="65"/>
      <c r="D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ht="14.25" customHeight="1" spans="1:26" x14ac:dyDescent="0.25">
      <c r="A746" s="65"/>
      <c r="B746" s="65"/>
      <c r="C746" s="65"/>
      <c r="D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ht="14.25" customHeight="1" spans="1:26" x14ac:dyDescent="0.25">
      <c r="A747" s="65"/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ht="14.25" customHeight="1" spans="1:26" x14ac:dyDescent="0.25">
      <c r="A748" s="65"/>
      <c r="B748" s="65"/>
      <c r="C748" s="65"/>
      <c r="D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ht="14.25" customHeight="1" spans="1:26" x14ac:dyDescent="0.25">
      <c r="A749" s="65"/>
      <c r="B749" s="65"/>
      <c r="C749" s="65"/>
      <c r="D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ht="14.25" customHeight="1" spans="1:26" x14ac:dyDescent="0.25">
      <c r="A750" s="65"/>
      <c r="B750" s="65"/>
      <c r="C750" s="65"/>
      <c r="D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ht="14.25" customHeight="1" spans="1:26" x14ac:dyDescent="0.25">
      <c r="A751" s="65"/>
      <c r="B751" s="65"/>
      <c r="C751" s="65"/>
      <c r="D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ht="14.25" customHeight="1" spans="1:26" x14ac:dyDescent="0.25">
      <c r="A752" s="65"/>
      <c r="B752" s="65"/>
      <c r="C752" s="65"/>
      <c r="D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ht="14.25" customHeight="1" spans="1:26" x14ac:dyDescent="0.25">
      <c r="A753" s="65"/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ht="14.25" customHeight="1" spans="1:26" x14ac:dyDescent="0.25">
      <c r="A754" s="65"/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ht="14.25" customHeight="1" spans="1:26" x14ac:dyDescent="0.25">
      <c r="A755" s="65"/>
      <c r="B755" s="65"/>
      <c r="C755" s="65"/>
      <c r="D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ht="14.25" customHeight="1" spans="1:26" x14ac:dyDescent="0.25">
      <c r="A756" s="65"/>
      <c r="B756" s="65"/>
      <c r="C756" s="65"/>
      <c r="D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ht="14.25" customHeight="1" spans="1:26" x14ac:dyDescent="0.25">
      <c r="A757" s="65"/>
      <c r="B757" s="65"/>
      <c r="C757" s="65"/>
      <c r="D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ht="14.25" customHeight="1" spans="1:26" x14ac:dyDescent="0.25">
      <c r="A758" s="65"/>
      <c r="B758" s="65"/>
      <c r="C758" s="65"/>
      <c r="D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ht="14.25" customHeight="1" spans="1:26" x14ac:dyDescent="0.25">
      <c r="A759" s="65"/>
      <c r="B759" s="65"/>
      <c r="C759" s="65"/>
      <c r="D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ht="14.25" customHeight="1" spans="1:26" x14ac:dyDescent="0.25">
      <c r="A760" s="65"/>
      <c r="B760" s="65"/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ht="14.25" customHeight="1" spans="1:26" x14ac:dyDescent="0.25">
      <c r="A761" s="65"/>
      <c r="B761" s="65"/>
      <c r="C761" s="65"/>
      <c r="D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ht="14.25" customHeight="1" spans="1:26" x14ac:dyDescent="0.25">
      <c r="A762" s="65"/>
      <c r="B762" s="65"/>
      <c r="C762" s="65"/>
      <c r="D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ht="14.25" customHeight="1" spans="1:26" x14ac:dyDescent="0.25">
      <c r="A763" s="65"/>
      <c r="B763" s="65"/>
      <c r="C763" s="65"/>
      <c r="D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ht="14.25" customHeight="1" spans="1:26" x14ac:dyDescent="0.25">
      <c r="A764" s="65"/>
      <c r="B764" s="65"/>
      <c r="C764" s="65"/>
      <c r="D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ht="14.25" customHeight="1" spans="1:26" x14ac:dyDescent="0.25">
      <c r="A765" s="65"/>
      <c r="B765" s="65"/>
      <c r="C765" s="65"/>
      <c r="D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ht="14.25" customHeight="1" spans="1:26" x14ac:dyDescent="0.25">
      <c r="A766" s="65"/>
      <c r="B766" s="65"/>
      <c r="C766" s="65"/>
      <c r="D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ht="14.25" customHeight="1" spans="1:26" x14ac:dyDescent="0.25">
      <c r="A767" s="65"/>
      <c r="B767" s="65"/>
      <c r="C767" s="65"/>
      <c r="D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ht="14.25" customHeight="1" spans="1:26" x14ac:dyDescent="0.25">
      <c r="A768" s="65"/>
      <c r="B768" s="65"/>
      <c r="C768" s="65"/>
      <c r="D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ht="14.25" customHeight="1" spans="1:26" x14ac:dyDescent="0.25">
      <c r="A769" s="65"/>
      <c r="B769" s="65"/>
      <c r="C769" s="65"/>
      <c r="D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ht="14.25" customHeight="1" spans="1:26" x14ac:dyDescent="0.25">
      <c r="A770" s="65"/>
      <c r="B770" s="65"/>
      <c r="C770" s="65"/>
      <c r="D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ht="14.25" customHeight="1" spans="1:26" x14ac:dyDescent="0.25">
      <c r="A771" s="65"/>
      <c r="B771" s="65"/>
      <c r="C771" s="65"/>
      <c r="D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ht="14.25" customHeight="1" spans="1:26" x14ac:dyDescent="0.25">
      <c r="A772" s="65"/>
      <c r="B772" s="65"/>
      <c r="C772" s="65"/>
      <c r="D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ht="14.25" customHeight="1" spans="1:26" x14ac:dyDescent="0.25">
      <c r="A773" s="65"/>
      <c r="B773" s="65"/>
      <c r="C773" s="65"/>
      <c r="D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ht="14.25" customHeight="1" spans="1:26" x14ac:dyDescent="0.25">
      <c r="A774" s="65"/>
      <c r="B774" s="65"/>
      <c r="C774" s="65"/>
      <c r="D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ht="14.25" customHeight="1" spans="1:26" x14ac:dyDescent="0.25">
      <c r="A775" s="65"/>
      <c r="B775" s="65"/>
      <c r="C775" s="65"/>
      <c r="D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ht="14.25" customHeight="1" spans="1:26" x14ac:dyDescent="0.25">
      <c r="A776" s="65"/>
      <c r="B776" s="65"/>
      <c r="C776" s="65"/>
      <c r="D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ht="14.25" customHeight="1" spans="1:26" x14ac:dyDescent="0.25">
      <c r="A777" s="65"/>
      <c r="B777" s="65"/>
      <c r="C777" s="65"/>
      <c r="D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ht="14.25" customHeight="1" spans="1:26" x14ac:dyDescent="0.25">
      <c r="A778" s="65"/>
      <c r="B778" s="65"/>
      <c r="C778" s="65"/>
      <c r="D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ht="14.25" customHeight="1" spans="1:26" x14ac:dyDescent="0.25">
      <c r="A779" s="65"/>
      <c r="B779" s="65"/>
      <c r="C779" s="65"/>
      <c r="D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ht="14.25" customHeight="1" spans="1:26" x14ac:dyDescent="0.25">
      <c r="A780" s="65"/>
      <c r="B780" s="65"/>
      <c r="C780" s="65"/>
      <c r="D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ht="14.25" customHeight="1" spans="1:26" x14ac:dyDescent="0.25">
      <c r="A781" s="65"/>
      <c r="B781" s="65"/>
      <c r="C781" s="65"/>
      <c r="D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ht="14.25" customHeight="1" spans="1:26" x14ac:dyDescent="0.25">
      <c r="A782" s="65"/>
      <c r="B782" s="65"/>
      <c r="C782" s="65"/>
      <c r="D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ht="14.25" customHeight="1" spans="1:26" x14ac:dyDescent="0.25">
      <c r="A783" s="65"/>
      <c r="B783" s="65"/>
      <c r="C783" s="65"/>
      <c r="D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ht="14.25" customHeight="1" spans="1:26" x14ac:dyDescent="0.25">
      <c r="A784" s="65"/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ht="14.25" customHeight="1" spans="1:26" x14ac:dyDescent="0.25">
      <c r="A785" s="65"/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ht="14.25" customHeight="1" spans="1:26" x14ac:dyDescent="0.25">
      <c r="A786" s="65"/>
      <c r="B786" s="65"/>
      <c r="C786" s="65"/>
      <c r="D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ht="14.25" customHeight="1" spans="1:26" x14ac:dyDescent="0.25">
      <c r="A787" s="65"/>
      <c r="B787" s="65"/>
      <c r="C787" s="65"/>
      <c r="D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ht="14.25" customHeight="1" spans="1:26" x14ac:dyDescent="0.25">
      <c r="A788" s="65"/>
      <c r="B788" s="65"/>
      <c r="C788" s="65"/>
      <c r="D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ht="14.25" customHeight="1" spans="1:26" x14ac:dyDescent="0.25">
      <c r="A789" s="65"/>
      <c r="B789" s="65"/>
      <c r="C789" s="65"/>
      <c r="D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ht="14.25" customHeight="1" spans="1:26" x14ac:dyDescent="0.25">
      <c r="A790" s="65"/>
      <c r="B790" s="65"/>
      <c r="C790" s="65"/>
      <c r="D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ht="14.25" customHeight="1" spans="1:26" x14ac:dyDescent="0.25">
      <c r="A791" s="65"/>
      <c r="B791" s="65"/>
      <c r="C791" s="65"/>
      <c r="D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ht="14.25" customHeight="1" spans="1:26" x14ac:dyDescent="0.25">
      <c r="A792" s="65"/>
      <c r="B792" s="65"/>
      <c r="C792" s="65"/>
      <c r="D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ht="14.25" customHeight="1" spans="1:26" x14ac:dyDescent="0.25">
      <c r="A793" s="65"/>
      <c r="B793" s="65"/>
      <c r="C793" s="65"/>
      <c r="D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ht="14.25" customHeight="1" spans="1:26" x14ac:dyDescent="0.25">
      <c r="A794" s="65"/>
      <c r="B794" s="65"/>
      <c r="C794" s="65"/>
      <c r="D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ht="14.25" customHeight="1" spans="1:26" x14ac:dyDescent="0.25">
      <c r="A795" s="65"/>
      <c r="B795" s="65"/>
      <c r="C795" s="65"/>
      <c r="D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ht="14.25" customHeight="1" spans="1:26" x14ac:dyDescent="0.25">
      <c r="A796" s="65"/>
      <c r="B796" s="65"/>
      <c r="C796" s="65"/>
      <c r="D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ht="14.25" customHeight="1" spans="1:26" x14ac:dyDescent="0.25">
      <c r="A797" s="65"/>
      <c r="B797" s="65"/>
      <c r="C797" s="65"/>
      <c r="D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ht="14.25" customHeight="1" spans="1:26" x14ac:dyDescent="0.25">
      <c r="A798" s="65"/>
      <c r="B798" s="65"/>
      <c r="C798" s="65"/>
      <c r="D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ht="14.25" customHeight="1" spans="1:26" x14ac:dyDescent="0.25">
      <c r="A799" s="65"/>
      <c r="B799" s="65"/>
      <c r="C799" s="65"/>
      <c r="D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ht="14.25" customHeight="1" spans="1:26" x14ac:dyDescent="0.25">
      <c r="A800" s="65"/>
      <c r="B800" s="65"/>
      <c r="C800" s="65"/>
      <c r="D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ht="14.25" customHeight="1" spans="1:26" x14ac:dyDescent="0.25">
      <c r="A801" s="65"/>
      <c r="B801" s="65"/>
      <c r="C801" s="65"/>
      <c r="D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ht="14.25" customHeight="1" spans="1:26" x14ac:dyDescent="0.25">
      <c r="A802" s="65"/>
      <c r="B802" s="65"/>
      <c r="C802" s="65"/>
      <c r="D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ht="14.25" customHeight="1" spans="1:26" x14ac:dyDescent="0.25">
      <c r="A803" s="65"/>
      <c r="B803" s="65"/>
      <c r="C803" s="65"/>
      <c r="D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ht="14.25" customHeight="1" spans="1:26" x14ac:dyDescent="0.25">
      <c r="A804" s="65"/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ht="14.25" customHeight="1" spans="1:26" x14ac:dyDescent="0.25">
      <c r="A805" s="65"/>
      <c r="B805" s="65"/>
      <c r="C805" s="65"/>
      <c r="D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ht="14.25" customHeight="1" spans="1:26" x14ac:dyDescent="0.25">
      <c r="A806" s="65"/>
      <c r="B806" s="65"/>
      <c r="C806" s="65"/>
      <c r="D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ht="14.25" customHeight="1" spans="1:26" x14ac:dyDescent="0.25">
      <c r="A807" s="65"/>
      <c r="B807" s="65"/>
      <c r="C807" s="65"/>
      <c r="D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ht="14.25" customHeight="1" spans="1:26" x14ac:dyDescent="0.25">
      <c r="A808" s="65"/>
      <c r="B808" s="65"/>
      <c r="C808" s="65"/>
      <c r="D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ht="14.25" customHeight="1" spans="1:26" x14ac:dyDescent="0.25">
      <c r="A809" s="65"/>
      <c r="B809" s="65"/>
      <c r="C809" s="65"/>
      <c r="D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ht="14.25" customHeight="1" spans="1:26" x14ac:dyDescent="0.25">
      <c r="A810" s="65"/>
      <c r="B810" s="65"/>
      <c r="C810" s="65"/>
      <c r="D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ht="14.25" customHeight="1" spans="1:26" x14ac:dyDescent="0.25">
      <c r="A811" s="65"/>
      <c r="B811" s="65"/>
      <c r="C811" s="65"/>
      <c r="D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ht="14.25" customHeight="1" spans="1:26" x14ac:dyDescent="0.25">
      <c r="A812" s="65"/>
      <c r="B812" s="65"/>
      <c r="C812" s="65"/>
      <c r="D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ht="14.25" customHeight="1" spans="1:26" x14ac:dyDescent="0.25">
      <c r="A813" s="65"/>
      <c r="B813" s="65"/>
      <c r="C813" s="65"/>
      <c r="D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ht="14.25" customHeight="1" spans="1:26" x14ac:dyDescent="0.25">
      <c r="A814" s="65"/>
      <c r="B814" s="65"/>
      <c r="C814" s="65"/>
      <c r="D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ht="14.25" customHeight="1" spans="1:26" x14ac:dyDescent="0.25">
      <c r="A815" s="65"/>
      <c r="B815" s="65"/>
      <c r="C815" s="65"/>
      <c r="D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ht="14.25" customHeight="1" spans="1:26" x14ac:dyDescent="0.25">
      <c r="A816" s="65"/>
      <c r="B816" s="65"/>
      <c r="C816" s="65"/>
      <c r="D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ht="14.25" customHeight="1" spans="1:26" x14ac:dyDescent="0.25">
      <c r="A817" s="65"/>
      <c r="B817" s="65"/>
      <c r="C817" s="65"/>
      <c r="D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ht="14.25" customHeight="1" spans="1:26" x14ac:dyDescent="0.25">
      <c r="A818" s="65"/>
      <c r="B818" s="65"/>
      <c r="C818" s="65"/>
      <c r="D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ht="14.25" customHeight="1" spans="1:26" x14ac:dyDescent="0.25">
      <c r="A819" s="65"/>
      <c r="B819" s="65"/>
      <c r="C819" s="65"/>
      <c r="D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ht="14.25" customHeight="1" spans="1:26" x14ac:dyDescent="0.25">
      <c r="A820" s="65"/>
      <c r="B820" s="65"/>
      <c r="C820" s="65"/>
      <c r="D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ht="14.25" customHeight="1" spans="1:26" x14ac:dyDescent="0.25">
      <c r="A821" s="65"/>
      <c r="B821" s="65"/>
      <c r="C821" s="65"/>
      <c r="D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ht="14.25" customHeight="1" spans="1:26" x14ac:dyDescent="0.25">
      <c r="A822" s="65"/>
      <c r="B822" s="65"/>
      <c r="C822" s="65"/>
      <c r="D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ht="14.25" customHeight="1" spans="1:26" x14ac:dyDescent="0.25">
      <c r="A823" s="65"/>
      <c r="B823" s="65"/>
      <c r="C823" s="65"/>
      <c r="D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ht="14.25" customHeight="1" spans="1:26" x14ac:dyDescent="0.25">
      <c r="A824" s="65"/>
      <c r="B824" s="65"/>
      <c r="C824" s="65"/>
      <c r="D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ht="14.25" customHeight="1" spans="1:26" x14ac:dyDescent="0.25">
      <c r="A825" s="65"/>
      <c r="B825" s="65"/>
      <c r="C825" s="65"/>
      <c r="D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ht="14.25" customHeight="1" spans="1:26" x14ac:dyDescent="0.25">
      <c r="A826" s="65"/>
      <c r="B826" s="65"/>
      <c r="C826" s="65"/>
      <c r="D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ht="14.25" customHeight="1" spans="1:26" x14ac:dyDescent="0.25">
      <c r="A827" s="65"/>
      <c r="B827" s="65"/>
      <c r="C827" s="65"/>
      <c r="D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ht="14.25" customHeight="1" spans="1:26" x14ac:dyDescent="0.25">
      <c r="A828" s="65"/>
      <c r="B828" s="65"/>
      <c r="C828" s="65"/>
      <c r="D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ht="14.25" customHeight="1" spans="1:26" x14ac:dyDescent="0.25">
      <c r="A829" s="65"/>
      <c r="B829" s="65"/>
      <c r="C829" s="65"/>
      <c r="D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ht="14.25" customHeight="1" spans="1:26" x14ac:dyDescent="0.25">
      <c r="A830" s="65"/>
      <c r="B830" s="65"/>
      <c r="C830" s="65"/>
      <c r="D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ht="14.25" customHeight="1" spans="1:26" x14ac:dyDescent="0.25">
      <c r="A831" s="65"/>
      <c r="B831" s="65"/>
      <c r="C831" s="65"/>
      <c r="D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ht="14.25" customHeight="1" spans="1:26" x14ac:dyDescent="0.25">
      <c r="A832" s="65"/>
      <c r="B832" s="65"/>
      <c r="C832" s="65"/>
      <c r="D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ht="14.25" customHeight="1" spans="1:26" x14ac:dyDescent="0.25">
      <c r="A833" s="65"/>
      <c r="B833" s="65"/>
      <c r="C833" s="65"/>
      <c r="D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ht="14.25" customHeight="1" spans="1:26" x14ac:dyDescent="0.25">
      <c r="A834" s="65"/>
      <c r="B834" s="65"/>
      <c r="C834" s="65"/>
      <c r="D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ht="14.25" customHeight="1" spans="1:26" x14ac:dyDescent="0.25">
      <c r="A835" s="65"/>
      <c r="B835" s="65"/>
      <c r="C835" s="65"/>
      <c r="D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ht="14.25" customHeight="1" spans="1:26" x14ac:dyDescent="0.25">
      <c r="A836" s="65"/>
      <c r="B836" s="65"/>
      <c r="C836" s="65"/>
      <c r="D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ht="14.25" customHeight="1" spans="1:26" x14ac:dyDescent="0.25">
      <c r="A837" s="65"/>
      <c r="B837" s="65"/>
      <c r="C837" s="65"/>
      <c r="D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ht="14.25" customHeight="1" spans="1:26" x14ac:dyDescent="0.25">
      <c r="A838" s="65"/>
      <c r="B838" s="65"/>
      <c r="C838" s="65"/>
      <c r="D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ht="14.25" customHeight="1" spans="1:26" x14ac:dyDescent="0.25">
      <c r="A839" s="65"/>
      <c r="B839" s="65"/>
      <c r="C839" s="65"/>
      <c r="D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ht="14.25" customHeight="1" spans="1:26" x14ac:dyDescent="0.25">
      <c r="A840" s="65"/>
      <c r="B840" s="65"/>
      <c r="C840" s="65"/>
      <c r="D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ht="14.25" customHeight="1" spans="1:26" x14ac:dyDescent="0.25">
      <c r="A841" s="65"/>
      <c r="B841" s="65"/>
      <c r="C841" s="65"/>
      <c r="D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ht="14.25" customHeight="1" spans="1:26" x14ac:dyDescent="0.25">
      <c r="A842" s="65"/>
      <c r="B842" s="65"/>
      <c r="C842" s="65"/>
      <c r="D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ht="14.25" customHeight="1" spans="1:26" x14ac:dyDescent="0.25">
      <c r="A843" s="65"/>
      <c r="B843" s="65"/>
      <c r="C843" s="65"/>
      <c r="D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ht="14.25" customHeight="1" spans="1:26" x14ac:dyDescent="0.25">
      <c r="A844" s="65"/>
      <c r="B844" s="65"/>
      <c r="C844" s="65"/>
      <c r="D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ht="14.25" customHeight="1" spans="1:26" x14ac:dyDescent="0.25">
      <c r="A845" s="65"/>
      <c r="B845" s="65"/>
      <c r="C845" s="65"/>
      <c r="D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ht="14.25" customHeight="1" spans="1:26" x14ac:dyDescent="0.25">
      <c r="A846" s="65"/>
      <c r="B846" s="65"/>
      <c r="C846" s="65"/>
      <c r="D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ht="14.25" customHeight="1" spans="1:26" x14ac:dyDescent="0.25">
      <c r="A847" s="65"/>
      <c r="B847" s="65"/>
      <c r="C847" s="65"/>
      <c r="D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ht="14.25" customHeight="1" spans="1:26" x14ac:dyDescent="0.25">
      <c r="A848" s="65"/>
      <c r="B848" s="65"/>
      <c r="C848" s="65"/>
      <c r="D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ht="14.25" customHeight="1" spans="1:26" x14ac:dyDescent="0.25">
      <c r="A849" s="65"/>
      <c r="B849" s="65"/>
      <c r="C849" s="65"/>
      <c r="D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ht="14.25" customHeight="1" spans="1:26" x14ac:dyDescent="0.25">
      <c r="A850" s="65"/>
      <c r="B850" s="65"/>
      <c r="C850" s="65"/>
      <c r="D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ht="14.25" customHeight="1" spans="1:26" x14ac:dyDescent="0.25">
      <c r="A851" s="65"/>
      <c r="B851" s="65"/>
      <c r="C851" s="65"/>
      <c r="D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ht="14.25" customHeight="1" spans="1:26" x14ac:dyDescent="0.25">
      <c r="A852" s="65"/>
      <c r="B852" s="65"/>
      <c r="C852" s="65"/>
      <c r="D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ht="14.25" customHeight="1" spans="1:26" x14ac:dyDescent="0.25">
      <c r="A853" s="65"/>
      <c r="B853" s="65"/>
      <c r="C853" s="65"/>
      <c r="D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ht="14.25" customHeight="1" spans="1:26" x14ac:dyDescent="0.25">
      <c r="A854" s="65"/>
      <c r="B854" s="65"/>
      <c r="C854" s="65"/>
      <c r="D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ht="14.25" customHeight="1" spans="1:26" x14ac:dyDescent="0.25">
      <c r="A855" s="65"/>
      <c r="B855" s="65"/>
      <c r="C855" s="65"/>
      <c r="D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ht="14.25" customHeight="1" spans="1:26" x14ac:dyDescent="0.25">
      <c r="A856" s="65"/>
      <c r="B856" s="65"/>
      <c r="C856" s="65"/>
      <c r="D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ht="14.25" customHeight="1" spans="1:26" x14ac:dyDescent="0.25">
      <c r="A857" s="65"/>
      <c r="B857" s="65"/>
      <c r="C857" s="65"/>
      <c r="D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ht="14.25" customHeight="1" spans="1:26" x14ac:dyDescent="0.25">
      <c r="A858" s="65"/>
      <c r="B858" s="65"/>
      <c r="C858" s="65"/>
      <c r="D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ht="14.25" customHeight="1" spans="1:26" x14ac:dyDescent="0.25">
      <c r="A859" s="65"/>
      <c r="B859" s="65"/>
      <c r="C859" s="65"/>
      <c r="D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ht="14.25" customHeight="1" spans="1:26" x14ac:dyDescent="0.25">
      <c r="A860" s="65"/>
      <c r="B860" s="65"/>
      <c r="C860" s="65"/>
      <c r="D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ht="14.25" customHeight="1" spans="1:26" x14ac:dyDescent="0.25">
      <c r="A861" s="65"/>
      <c r="B861" s="65"/>
      <c r="C861" s="65"/>
      <c r="D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ht="14.25" customHeight="1" spans="1:26" x14ac:dyDescent="0.25">
      <c r="A862" s="65"/>
      <c r="B862" s="65"/>
      <c r="C862" s="65"/>
      <c r="D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ht="14.25" customHeight="1" spans="1:26" x14ac:dyDescent="0.25">
      <c r="A863" s="65"/>
      <c r="B863" s="65"/>
      <c r="C863" s="65"/>
      <c r="D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ht="14.25" customHeight="1" spans="1:26" x14ac:dyDescent="0.25">
      <c r="A864" s="65"/>
      <c r="B864" s="65"/>
      <c r="C864" s="65"/>
      <c r="D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ht="14.25" customHeight="1" spans="1:26" x14ac:dyDescent="0.25">
      <c r="A865" s="65"/>
      <c r="B865" s="65"/>
      <c r="C865" s="65"/>
      <c r="D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ht="14.25" customHeight="1" spans="1:26" x14ac:dyDescent="0.25">
      <c r="A866" s="65"/>
      <c r="B866" s="65"/>
      <c r="C866" s="65"/>
      <c r="D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ht="14.25" customHeight="1" spans="1:26" x14ac:dyDescent="0.25">
      <c r="A867" s="65"/>
      <c r="B867" s="65"/>
      <c r="C867" s="65"/>
      <c r="D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ht="14.25" customHeight="1" spans="1:26" x14ac:dyDescent="0.25">
      <c r="A868" s="65"/>
      <c r="B868" s="65"/>
      <c r="C868" s="65"/>
      <c r="D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ht="14.25" customHeight="1" spans="1:26" x14ac:dyDescent="0.25">
      <c r="A869" s="65"/>
      <c r="B869" s="65"/>
      <c r="C869" s="65"/>
      <c r="D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ht="14.25" customHeight="1" spans="1:26" x14ac:dyDescent="0.25">
      <c r="A870" s="65"/>
      <c r="B870" s="65"/>
      <c r="C870" s="65"/>
      <c r="D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ht="14.25" customHeight="1" spans="1:26" x14ac:dyDescent="0.25">
      <c r="A871" s="65"/>
      <c r="B871" s="65"/>
      <c r="C871" s="65"/>
      <c r="D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ht="14.25" customHeight="1" spans="1:26" x14ac:dyDescent="0.25">
      <c r="A872" s="65"/>
      <c r="B872" s="65"/>
      <c r="C872" s="65"/>
      <c r="D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ht="14.25" customHeight="1" spans="1:26" x14ac:dyDescent="0.25">
      <c r="A873" s="65"/>
      <c r="B873" s="65"/>
      <c r="C873" s="65"/>
      <c r="D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ht="14.25" customHeight="1" spans="1:26" x14ac:dyDescent="0.25">
      <c r="A874" s="65"/>
      <c r="B874" s="65"/>
      <c r="C874" s="65"/>
      <c r="D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ht="14.25" customHeight="1" spans="1:26" x14ac:dyDescent="0.25">
      <c r="A875" s="65"/>
      <c r="B875" s="65"/>
      <c r="C875" s="65"/>
      <c r="D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ht="14.25" customHeight="1" spans="1:26" x14ac:dyDescent="0.25">
      <c r="A876" s="65"/>
      <c r="B876" s="65"/>
      <c r="C876" s="65"/>
      <c r="D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ht="14.25" customHeight="1" spans="1:26" x14ac:dyDescent="0.25">
      <c r="A877" s="65"/>
      <c r="B877" s="65"/>
      <c r="C877" s="65"/>
      <c r="D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ht="14.25" customHeight="1" spans="1:26" x14ac:dyDescent="0.25">
      <c r="A878" s="65"/>
      <c r="B878" s="65"/>
      <c r="C878" s="65"/>
      <c r="D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ht="14.25" customHeight="1" spans="1:26" x14ac:dyDescent="0.25">
      <c r="A879" s="65"/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ht="14.25" customHeight="1" spans="1:26" x14ac:dyDescent="0.25">
      <c r="A880" s="65"/>
      <c r="B880" s="65"/>
      <c r="C880" s="65"/>
      <c r="D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ht="14.25" customHeight="1" spans="1:26" x14ac:dyDescent="0.25">
      <c r="A881" s="65"/>
      <c r="B881" s="65"/>
      <c r="C881" s="65"/>
      <c r="D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ht="14.25" customHeight="1" spans="1:26" x14ac:dyDescent="0.25">
      <c r="A882" s="65"/>
      <c r="B882" s="65"/>
      <c r="C882" s="65"/>
      <c r="D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ht="14.25" customHeight="1" spans="1:26" x14ac:dyDescent="0.25">
      <c r="A883" s="65"/>
      <c r="B883" s="65"/>
      <c r="C883" s="65"/>
      <c r="D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ht="14.25" customHeight="1" spans="1:26" x14ac:dyDescent="0.25">
      <c r="A884" s="65"/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ht="14.25" customHeight="1" spans="1:26" x14ac:dyDescent="0.25">
      <c r="A885" s="65"/>
      <c r="B885" s="65"/>
      <c r="C885" s="65"/>
      <c r="D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ht="14.25" customHeight="1" spans="1:26" x14ac:dyDescent="0.25">
      <c r="A886" s="65"/>
      <c r="B886" s="65"/>
      <c r="C886" s="65"/>
      <c r="D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ht="14.25" customHeight="1" spans="1:26" x14ac:dyDescent="0.25">
      <c r="A887" s="65"/>
      <c r="B887" s="65"/>
      <c r="C887" s="65"/>
      <c r="D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ht="14.25" customHeight="1" spans="1:26" x14ac:dyDescent="0.25">
      <c r="A888" s="65"/>
      <c r="B888" s="65"/>
      <c r="C888" s="65"/>
      <c r="D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ht="14.25" customHeight="1" spans="1:26" x14ac:dyDescent="0.25">
      <c r="A889" s="65"/>
      <c r="B889" s="65"/>
      <c r="C889" s="65"/>
      <c r="D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ht="14.25" customHeight="1" spans="1:26" x14ac:dyDescent="0.25">
      <c r="A890" s="65"/>
      <c r="B890" s="65"/>
      <c r="C890" s="65"/>
      <c r="D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ht="14.25" customHeight="1" spans="1:26" x14ac:dyDescent="0.25">
      <c r="A891" s="65"/>
      <c r="B891" s="65"/>
      <c r="C891" s="65"/>
      <c r="D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ht="14.25" customHeight="1" spans="1:26" x14ac:dyDescent="0.25">
      <c r="A892" s="65"/>
      <c r="B892" s="65"/>
      <c r="C892" s="65"/>
      <c r="D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ht="14.25" customHeight="1" spans="1:26" x14ac:dyDescent="0.25">
      <c r="A893" s="65"/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ht="14.25" customHeight="1" spans="1:26" x14ac:dyDescent="0.25">
      <c r="A894" s="65"/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ht="14.25" customHeight="1" spans="1:26" x14ac:dyDescent="0.25">
      <c r="A895" s="65"/>
      <c r="B895" s="65"/>
      <c r="C895" s="65"/>
      <c r="D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ht="14.25" customHeight="1" spans="1:26" x14ac:dyDescent="0.25">
      <c r="A896" s="65"/>
      <c r="B896" s="65"/>
      <c r="C896" s="65"/>
      <c r="D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ht="14.25" customHeight="1" spans="1:26" x14ac:dyDescent="0.25">
      <c r="A897" s="65"/>
      <c r="B897" s="65"/>
      <c r="C897" s="65"/>
      <c r="D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ht="14.25" customHeight="1" spans="1:26" x14ac:dyDescent="0.25">
      <c r="A898" s="65"/>
      <c r="B898" s="65"/>
      <c r="C898" s="65"/>
      <c r="D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ht="14.25" customHeight="1" spans="1:26" x14ac:dyDescent="0.25">
      <c r="A899" s="65"/>
      <c r="B899" s="65"/>
      <c r="C899" s="65"/>
      <c r="D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ht="14.25" customHeight="1" spans="1:26" x14ac:dyDescent="0.25">
      <c r="A900" s="65"/>
      <c r="B900" s="65"/>
      <c r="C900" s="65"/>
      <c r="D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ht="14.25" customHeight="1" spans="1:26" x14ac:dyDescent="0.25">
      <c r="A901" s="65"/>
      <c r="B901" s="65"/>
      <c r="C901" s="65"/>
      <c r="D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ht="14.25" customHeight="1" spans="1:26" x14ac:dyDescent="0.25">
      <c r="A902" s="65"/>
      <c r="B902" s="65"/>
      <c r="C902" s="65"/>
      <c r="D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ht="14.25" customHeight="1" spans="1:26" x14ac:dyDescent="0.25">
      <c r="A903" s="65"/>
      <c r="B903" s="65"/>
      <c r="C903" s="65"/>
      <c r="D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ht="14.25" customHeight="1" spans="1:26" x14ac:dyDescent="0.25">
      <c r="A904" s="65"/>
      <c r="B904" s="65"/>
      <c r="C904" s="65"/>
      <c r="D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ht="14.25" customHeight="1" spans="1:26" x14ac:dyDescent="0.25">
      <c r="A905" s="65"/>
      <c r="B905" s="65"/>
      <c r="C905" s="65"/>
      <c r="D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ht="14.25" customHeight="1" spans="1:26" x14ac:dyDescent="0.25">
      <c r="A906" s="65"/>
      <c r="B906" s="65"/>
      <c r="C906" s="65"/>
      <c r="D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ht="14.25" customHeight="1" spans="1:26" x14ac:dyDescent="0.25">
      <c r="A907" s="65"/>
      <c r="B907" s="65"/>
      <c r="C907" s="65"/>
      <c r="D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ht="14.25" customHeight="1" spans="1:26" x14ac:dyDescent="0.25">
      <c r="A908" s="65"/>
      <c r="B908" s="65"/>
      <c r="C908" s="65"/>
      <c r="D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ht="14.25" customHeight="1" spans="1:26" x14ac:dyDescent="0.25">
      <c r="A909" s="65"/>
      <c r="B909" s="65"/>
      <c r="C909" s="65"/>
      <c r="D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ht="14.25" customHeight="1" spans="1:26" x14ac:dyDescent="0.25">
      <c r="A910" s="65"/>
      <c r="B910" s="65"/>
      <c r="C910" s="65"/>
      <c r="D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ht="14.25" customHeight="1" spans="1:26" x14ac:dyDescent="0.25">
      <c r="A911" s="65"/>
      <c r="B911" s="65"/>
      <c r="C911" s="65"/>
      <c r="D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ht="14.25" customHeight="1" spans="1:26" x14ac:dyDescent="0.25">
      <c r="A912" s="65"/>
      <c r="B912" s="65"/>
      <c r="C912" s="65"/>
      <c r="D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ht="14.25" customHeight="1" spans="1:26" x14ac:dyDescent="0.25">
      <c r="A913" s="65"/>
      <c r="B913" s="65"/>
      <c r="C913" s="65"/>
      <c r="D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ht="14.25" customHeight="1" spans="1:26" x14ac:dyDescent="0.25">
      <c r="A914" s="65"/>
      <c r="B914" s="65"/>
      <c r="C914" s="65"/>
      <c r="D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ht="14.25" customHeight="1" spans="1:26" x14ac:dyDescent="0.25">
      <c r="A915" s="65"/>
      <c r="B915" s="65"/>
      <c r="C915" s="65"/>
      <c r="D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ht="14.25" customHeight="1" spans="1:26" x14ac:dyDescent="0.25">
      <c r="A916" s="65"/>
      <c r="B916" s="65"/>
      <c r="C916" s="65"/>
      <c r="D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ht="14.25" customHeight="1" spans="1:26" x14ac:dyDescent="0.25">
      <c r="A917" s="65"/>
      <c r="B917" s="65"/>
      <c r="C917" s="65"/>
      <c r="D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ht="14.25" customHeight="1" spans="1:26" x14ac:dyDescent="0.25">
      <c r="A918" s="65"/>
      <c r="B918" s="65"/>
      <c r="C918" s="65"/>
      <c r="D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ht="14.25" customHeight="1" spans="1:26" x14ac:dyDescent="0.25">
      <c r="A919" s="65"/>
      <c r="B919" s="65"/>
      <c r="C919" s="65"/>
      <c r="D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ht="14.25" customHeight="1" spans="1:26" x14ac:dyDescent="0.25">
      <c r="A920" s="65"/>
      <c r="B920" s="65"/>
      <c r="C920" s="65"/>
      <c r="D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ht="14.25" customHeight="1" spans="1:26" x14ac:dyDescent="0.25">
      <c r="A921" s="65"/>
      <c r="B921" s="65"/>
      <c r="C921" s="65"/>
      <c r="D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ht="14.25" customHeight="1" spans="1:26" x14ac:dyDescent="0.25">
      <c r="A922" s="65"/>
      <c r="B922" s="65"/>
      <c r="C922" s="65"/>
      <c r="D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ht="14.25" customHeight="1" spans="1:26" x14ac:dyDescent="0.25">
      <c r="A923" s="65"/>
      <c r="B923" s="65"/>
      <c r="C923" s="65"/>
      <c r="D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ht="14.25" customHeight="1" spans="1:26" x14ac:dyDescent="0.25">
      <c r="A924" s="65"/>
      <c r="B924" s="65"/>
      <c r="C924" s="65"/>
      <c r="D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ht="14.25" customHeight="1" spans="1:26" x14ac:dyDescent="0.25">
      <c r="A925" s="65"/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ht="14.25" customHeight="1" spans="1:26" x14ac:dyDescent="0.25">
      <c r="A926" s="65"/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ht="14.25" customHeight="1" spans="1:26" x14ac:dyDescent="0.25">
      <c r="A927" s="65"/>
      <c r="B927" s="65"/>
      <c r="C927" s="65"/>
      <c r="D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ht="14.25" customHeight="1" spans="1:26" x14ac:dyDescent="0.25">
      <c r="A928" s="65"/>
      <c r="B928" s="65"/>
      <c r="C928" s="65"/>
      <c r="D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ht="14.25" customHeight="1" spans="1:26" x14ac:dyDescent="0.25">
      <c r="A929" s="65"/>
      <c r="B929" s="65"/>
      <c r="C929" s="65"/>
      <c r="D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ht="14.25" customHeight="1" spans="1:26" x14ac:dyDescent="0.25">
      <c r="A930" s="65"/>
      <c r="B930" s="65"/>
      <c r="C930" s="65"/>
      <c r="D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ht="14.25" customHeight="1" spans="1:26" x14ac:dyDescent="0.25">
      <c r="A931" s="65"/>
      <c r="B931" s="65"/>
      <c r="C931" s="65"/>
      <c r="D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ht="14.25" customHeight="1" spans="1:26" x14ac:dyDescent="0.25">
      <c r="A932" s="65"/>
      <c r="B932" s="65"/>
      <c r="C932" s="65"/>
      <c r="D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ht="14.25" customHeight="1" spans="1:26" x14ac:dyDescent="0.25">
      <c r="A933" s="65"/>
      <c r="B933" s="65"/>
      <c r="C933" s="65"/>
      <c r="D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ht="14.25" customHeight="1" spans="1:26" x14ac:dyDescent="0.25">
      <c r="A934" s="65"/>
      <c r="B934" s="65"/>
      <c r="C934" s="65"/>
      <c r="D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ht="14.25" customHeight="1" spans="1:26" x14ac:dyDescent="0.25">
      <c r="A935" s="65"/>
      <c r="B935" s="65"/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ht="14.25" customHeight="1" spans="1:26" x14ac:dyDescent="0.25">
      <c r="A936" s="65"/>
      <c r="B936" s="65"/>
      <c r="C936" s="65"/>
      <c r="D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ht="14.25" customHeight="1" spans="1:26" x14ac:dyDescent="0.25">
      <c r="A937" s="65"/>
      <c r="B937" s="65"/>
      <c r="C937" s="65"/>
      <c r="D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ht="14.25" customHeight="1" spans="1:26" x14ac:dyDescent="0.25">
      <c r="A938" s="65"/>
      <c r="B938" s="65"/>
      <c r="C938" s="65"/>
      <c r="D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ht="14.25" customHeight="1" spans="1:26" x14ac:dyDescent="0.25">
      <c r="A939" s="65"/>
      <c r="B939" s="65"/>
      <c r="C939" s="65"/>
      <c r="D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ht="14.25" customHeight="1" spans="1:26" x14ac:dyDescent="0.25">
      <c r="A940" s="65"/>
      <c r="B940" s="65"/>
      <c r="C940" s="65"/>
      <c r="D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ht="14.25" customHeight="1" spans="1:26" x14ac:dyDescent="0.25">
      <c r="A941" s="65"/>
      <c r="B941" s="65"/>
      <c r="C941" s="65"/>
      <c r="D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ht="14.25" customHeight="1" spans="1:26" x14ac:dyDescent="0.25">
      <c r="A942" s="65"/>
      <c r="B942" s="65"/>
      <c r="C942" s="65"/>
      <c r="D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ht="14.25" customHeight="1" spans="1:26" x14ac:dyDescent="0.25">
      <c r="A943" s="65"/>
      <c r="B943" s="65"/>
      <c r="C943" s="65"/>
      <c r="D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ht="14.25" customHeight="1" spans="1:26" x14ac:dyDescent="0.25">
      <c r="A944" s="65"/>
      <c r="B944" s="65"/>
      <c r="C944" s="65"/>
      <c r="D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ht="14.25" customHeight="1" spans="1:26" x14ac:dyDescent="0.25">
      <c r="A945" s="65"/>
      <c r="B945" s="65"/>
      <c r="C945" s="65"/>
      <c r="D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ht="14.25" customHeight="1" spans="1:26" x14ac:dyDescent="0.25">
      <c r="A946" s="65"/>
      <c r="B946" s="65"/>
      <c r="C946" s="65"/>
      <c r="D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ht="14.25" customHeight="1" spans="1:26" x14ac:dyDescent="0.25">
      <c r="A947" s="65"/>
      <c r="B947" s="65"/>
      <c r="C947" s="65"/>
      <c r="D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ht="14.25" customHeight="1" spans="1:26" x14ac:dyDescent="0.25">
      <c r="A948" s="65"/>
      <c r="B948" s="65"/>
      <c r="C948" s="65"/>
      <c r="D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ht="14.25" customHeight="1" spans="1:26" x14ac:dyDescent="0.25">
      <c r="A949" s="65"/>
      <c r="B949" s="65"/>
      <c r="C949" s="65"/>
      <c r="D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ht="14.25" customHeight="1" spans="1:26" x14ac:dyDescent="0.25">
      <c r="A950" s="65"/>
      <c r="B950" s="65"/>
      <c r="C950" s="65"/>
      <c r="D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ht="14.25" customHeight="1" spans="1:26" x14ac:dyDescent="0.25">
      <c r="A951" s="65"/>
      <c r="B951" s="65"/>
      <c r="C951" s="65"/>
      <c r="D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ht="14.25" customHeight="1" spans="1:26" x14ac:dyDescent="0.25">
      <c r="A952" s="65"/>
      <c r="B952" s="65"/>
      <c r="C952" s="65"/>
      <c r="D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ht="14.25" customHeight="1" spans="1:26" x14ac:dyDescent="0.25">
      <c r="A953" s="65"/>
      <c r="B953" s="65"/>
      <c r="C953" s="65"/>
      <c r="D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ht="14.25" customHeight="1" spans="1:26" x14ac:dyDescent="0.25">
      <c r="A954" s="65"/>
      <c r="B954" s="65"/>
      <c r="C954" s="65"/>
      <c r="D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ht="14.25" customHeight="1" spans="1:26" x14ac:dyDescent="0.25">
      <c r="A955" s="65"/>
      <c r="B955" s="65"/>
      <c r="C955" s="65"/>
      <c r="D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ht="14.25" customHeight="1" spans="1:26" x14ac:dyDescent="0.25">
      <c r="A956" s="65"/>
      <c r="B956" s="65"/>
      <c r="C956" s="65"/>
      <c r="D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ht="14.25" customHeight="1" spans="1:26" x14ac:dyDescent="0.25">
      <c r="A957" s="65"/>
      <c r="B957" s="65"/>
      <c r="C957" s="65"/>
      <c r="D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ht="14.25" customHeight="1" spans="1:26" x14ac:dyDescent="0.25">
      <c r="A958" s="65"/>
      <c r="B958" s="65"/>
      <c r="C958" s="65"/>
      <c r="D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ht="14.25" customHeight="1" spans="1:26" x14ac:dyDescent="0.25">
      <c r="A959" s="65"/>
      <c r="B959" s="65"/>
      <c r="C959" s="65"/>
      <c r="D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ht="14.25" customHeight="1" spans="1:26" x14ac:dyDescent="0.25">
      <c r="A960" s="65"/>
      <c r="B960" s="65"/>
      <c r="C960" s="65"/>
      <c r="D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ht="14.25" customHeight="1" spans="1:26" x14ac:dyDescent="0.25">
      <c r="A961" s="65"/>
      <c r="B961" s="65"/>
      <c r="C961" s="65"/>
      <c r="D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ht="14.25" customHeight="1" spans="1:26" x14ac:dyDescent="0.25">
      <c r="A962" s="65"/>
      <c r="B962" s="65"/>
      <c r="C962" s="65"/>
      <c r="D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ht="14.25" customHeight="1" spans="1:26" x14ac:dyDescent="0.25">
      <c r="A963" s="65"/>
      <c r="B963" s="65"/>
      <c r="C963" s="65"/>
      <c r="D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ht="14.25" customHeight="1" spans="1:26" x14ac:dyDescent="0.25">
      <c r="A964" s="65"/>
      <c r="B964" s="65"/>
      <c r="C964" s="65"/>
      <c r="D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ht="14.25" customHeight="1" spans="1:26" x14ac:dyDescent="0.25">
      <c r="A965" s="65"/>
      <c r="B965" s="65"/>
      <c r="C965" s="65"/>
      <c r="D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ht="14.25" customHeight="1" spans="1:26" x14ac:dyDescent="0.25">
      <c r="A966" s="65"/>
      <c r="B966" s="65"/>
      <c r="C966" s="65"/>
      <c r="D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ht="14.25" customHeight="1" spans="1:26" x14ac:dyDescent="0.25">
      <c r="A967" s="65"/>
      <c r="B967" s="65"/>
      <c r="C967" s="65"/>
      <c r="D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ht="14.25" customHeight="1" spans="1:26" x14ac:dyDescent="0.25">
      <c r="A968" s="65"/>
      <c r="B968" s="65"/>
      <c r="C968" s="65"/>
      <c r="D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ht="14.25" customHeight="1" spans="1:26" x14ac:dyDescent="0.25">
      <c r="A969" s="65"/>
      <c r="B969" s="65"/>
      <c r="C969" s="65"/>
      <c r="D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ht="14.25" customHeight="1" spans="1:26" x14ac:dyDescent="0.25">
      <c r="A970" s="65"/>
      <c r="B970" s="65"/>
      <c r="C970" s="65"/>
      <c r="D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ht="14.25" customHeight="1" spans="1:26" x14ac:dyDescent="0.25">
      <c r="A971" s="65"/>
      <c r="B971" s="65"/>
      <c r="C971" s="65"/>
      <c r="D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ht="14.25" customHeight="1" spans="1:26" x14ac:dyDescent="0.25">
      <c r="A972" s="65"/>
      <c r="B972" s="65"/>
      <c r="C972" s="65"/>
      <c r="D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ht="14.25" customHeight="1" spans="1:26" x14ac:dyDescent="0.25">
      <c r="A973" s="65"/>
      <c r="B973" s="65"/>
      <c r="C973" s="65"/>
      <c r="D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ht="14.25" customHeight="1" spans="1:26" x14ac:dyDescent="0.25">
      <c r="A974" s="65"/>
      <c r="B974" s="65"/>
      <c r="C974" s="65"/>
      <c r="D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ht="14.25" customHeight="1" spans="1:26" x14ac:dyDescent="0.25">
      <c r="A975" s="65"/>
      <c r="B975" s="65"/>
      <c r="C975" s="65"/>
      <c r="D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ht="14.25" customHeight="1" spans="1:26" x14ac:dyDescent="0.25">
      <c r="A976" s="65"/>
      <c r="B976" s="65"/>
      <c r="C976" s="65"/>
      <c r="D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ht="14.25" customHeight="1" spans="1:26" x14ac:dyDescent="0.25">
      <c r="A977" s="65"/>
      <c r="B977" s="65"/>
      <c r="C977" s="65"/>
      <c r="D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ht="14.25" customHeight="1" spans="1:26" x14ac:dyDescent="0.25">
      <c r="A978" s="65"/>
      <c r="B978" s="65"/>
      <c r="C978" s="65"/>
      <c r="D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ht="14.25" customHeight="1" spans="1:26" x14ac:dyDescent="0.25">
      <c r="A979" s="65"/>
      <c r="B979" s="65"/>
      <c r="C979" s="65"/>
      <c r="D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ht="14.25" customHeight="1" spans="1:26" x14ac:dyDescent="0.25">
      <c r="A980" s="65"/>
      <c r="B980" s="65"/>
      <c r="C980" s="65"/>
      <c r="D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ht="14.25" customHeight="1" spans="1:26" x14ac:dyDescent="0.25">
      <c r="A981" s="65"/>
      <c r="B981" s="65"/>
      <c r="C981" s="65"/>
      <c r="D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ht="14.25" customHeight="1" spans="1:26" x14ac:dyDescent="0.25">
      <c r="A982" s="65"/>
      <c r="B982" s="65"/>
      <c r="C982" s="65"/>
      <c r="D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ht="14.25" customHeight="1" spans="1:26" x14ac:dyDescent="0.25">
      <c r="A983" s="65"/>
      <c r="B983" s="65"/>
      <c r="C983" s="65"/>
      <c r="D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ht="14.25" customHeight="1" spans="1:26" x14ac:dyDescent="0.25">
      <c r="A984" s="65"/>
      <c r="B984" s="65"/>
      <c r="C984" s="65"/>
      <c r="D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ht="14.25" customHeight="1" spans="1:26" x14ac:dyDescent="0.25">
      <c r="A985" s="65"/>
      <c r="B985" s="65"/>
      <c r="C985" s="65"/>
      <c r="D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ht="14.25" customHeight="1" spans="1:26" x14ac:dyDescent="0.25">
      <c r="A986" s="65"/>
      <c r="B986" s="65"/>
      <c r="C986" s="65"/>
      <c r="D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ht="14.25" customHeight="1" spans="1:26" x14ac:dyDescent="0.25">
      <c r="A987" s="65"/>
      <c r="B987" s="65"/>
      <c r="C987" s="65"/>
      <c r="D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ht="14.25" customHeight="1" spans="1:26" x14ac:dyDescent="0.25">
      <c r="A988" s="65"/>
      <c r="B988" s="65"/>
      <c r="C988" s="65"/>
      <c r="D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ht="14.25" customHeight="1" spans="1:26" x14ac:dyDescent="0.25">
      <c r="A989" s="65"/>
      <c r="B989" s="65"/>
      <c r="C989" s="65"/>
      <c r="D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ht="14.25" customHeight="1" spans="1:26" x14ac:dyDescent="0.25">
      <c r="A990" s="65"/>
      <c r="B990" s="65"/>
      <c r="C990" s="65"/>
      <c r="D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ht="14.25" customHeight="1" spans="1:26" x14ac:dyDescent="0.25">
      <c r="A991" s="65"/>
      <c r="B991" s="65"/>
      <c r="C991" s="65"/>
      <c r="D991" s="6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ht="14.25" customHeight="1" spans="1:26" x14ac:dyDescent="0.25">
      <c r="A992" s="65"/>
      <c r="B992" s="65"/>
      <c r="C992" s="65"/>
      <c r="D992" s="6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ht="14.25" customHeight="1" spans="1:26" x14ac:dyDescent="0.25">
      <c r="A993" s="65"/>
      <c r="B993" s="65"/>
      <c r="C993" s="65"/>
      <c r="D993" s="6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ht="14.25" customHeight="1" spans="1:26" x14ac:dyDescent="0.25">
      <c r="A994" s="65"/>
      <c r="B994" s="65"/>
      <c r="C994" s="65"/>
      <c r="D994" s="6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ht="14.25" customHeight="1" spans="1:26" x14ac:dyDescent="0.25">
      <c r="A995" s="65"/>
      <c r="B995" s="65"/>
      <c r="C995" s="65"/>
      <c r="D995" s="6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ht="14.25" customHeight="1" spans="1:26" x14ac:dyDescent="0.25">
      <c r="A996" s="65"/>
      <c r="B996" s="65"/>
      <c r="C996" s="65"/>
      <c r="D996" s="6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ht="14.25" customHeight="1" spans="1:26" x14ac:dyDescent="0.25">
      <c r="A997" s="65"/>
      <c r="B997" s="65"/>
      <c r="C997" s="65"/>
      <c r="D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ht="14.25" customHeight="1" spans="1:26" x14ac:dyDescent="0.25">
      <c r="A998" s="65"/>
      <c r="B998" s="65"/>
      <c r="C998" s="65"/>
      <c r="D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ht="14.25" customHeight="1" spans="1:26" x14ac:dyDescent="0.25">
      <c r="A999" s="65"/>
      <c r="B999" s="65"/>
      <c r="C999" s="65"/>
      <c r="D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ht="14.25" customHeight="1" spans="1:26" x14ac:dyDescent="0.25">
      <c r="A1000" s="65"/>
      <c r="B1000" s="65"/>
      <c r="C1000" s="65"/>
      <c r="D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0"/>
  <sheetViews>
    <sheetView workbookViewId="0" zoomScale="100" zoomScaleNormal="100">
      <pane xSplit="5" ySplit="1" topLeftCell="F2" activePane="bottomRight" state="frozen"/>
      <selection pane="bottomRight" activeCell="F2" sqref="F2"/>
    </sheetView>
  </sheetViews>
  <sheetFormatPr defaultRowHeight="15" outlineLevelRow="0" outlineLevelCol="1" x14ac:dyDescent="0" defaultColWidth="14.43"/>
  <cols>
    <col min="1" max="1" width="6" customWidth="1"/>
    <col min="2" max="2" width="13" customWidth="1"/>
    <col min="3" max="3" width="10" customWidth="1"/>
    <col min="4" max="4" width="13" customWidth="1"/>
    <col min="5" max="5" width="26" customWidth="1"/>
    <col min="7" max="7" width="12" customWidth="1"/>
    <col min="8" max="8" width="10" customWidth="1"/>
    <col min="9" max="9" width="13" customWidth="1"/>
    <col min="10" max="10" width="16" customWidth="1"/>
    <col min="11" max="11" width="13" customWidth="1"/>
    <col min="12" max="12" width="22" customWidth="1"/>
    <col min="13" max="13" width="13" customWidth="1"/>
    <col min="14" max="14" width="30" customWidth="1"/>
    <col min="15" max="15" width="24" customWidth="1"/>
    <col min="16" max="16" width="11" customWidth="1"/>
    <col min="17" max="17" width="20" customWidth="1"/>
    <col min="18" max="18" width="13" customWidth="1"/>
    <col min="19" max="19" width="18" customWidth="1"/>
    <col min="20" max="20" width="15" customWidth="1"/>
    <col min="21" max="21" width="13" customWidth="1"/>
    <col min="22" max="23" width="14" customWidth="1"/>
    <col min="24" max="24" width="16" customWidth="1"/>
    <col min="25" max="25" width="31.86" customWidth="1"/>
    <col min="26" max="26" width="22" customWidth="1"/>
    <col min="27" max="28" width="14" customWidth="1"/>
    <col min="29" max="29" width="20" customWidth="1"/>
  </cols>
  <sheetData>
    <row r="1" ht="42" customHeight="1" spans="1:29" x14ac:dyDescent="0.25">
      <c r="A1" s="64" t="s">
        <v>33</v>
      </c>
      <c r="B1" s="64" t="s">
        <v>538</v>
      </c>
      <c r="C1" s="64" t="s">
        <v>539</v>
      </c>
      <c r="D1" s="64" t="s">
        <v>540</v>
      </c>
      <c r="E1" s="64" t="s">
        <v>541</v>
      </c>
      <c r="F1" s="64" t="s">
        <v>84</v>
      </c>
      <c r="G1" s="71" t="s">
        <v>85</v>
      </c>
      <c r="H1" s="64" t="s">
        <v>86</v>
      </c>
      <c r="I1" s="64" t="s">
        <v>87</v>
      </c>
      <c r="J1" s="64" t="s">
        <v>88</v>
      </c>
      <c r="K1" s="64" t="s">
        <v>89</v>
      </c>
      <c r="L1" s="64" t="s">
        <v>90</v>
      </c>
      <c r="M1" s="64" t="s">
        <v>83</v>
      </c>
      <c r="N1" s="64" t="s">
        <v>91</v>
      </c>
      <c r="O1" s="64" t="s">
        <v>542</v>
      </c>
      <c r="P1" s="64" t="s">
        <v>543</v>
      </c>
      <c r="Q1" s="64" t="s">
        <v>544</v>
      </c>
      <c r="R1" s="64" t="s">
        <v>95</v>
      </c>
      <c r="S1" s="64" t="s">
        <v>545</v>
      </c>
      <c r="T1" s="64" t="s">
        <v>99</v>
      </c>
      <c r="U1" s="64" t="s">
        <v>81</v>
      </c>
      <c r="V1" s="64" t="s">
        <v>130</v>
      </c>
      <c r="W1" s="64" t="s">
        <v>489</v>
      </c>
      <c r="X1" s="64" t="s">
        <v>546</v>
      </c>
      <c r="Y1" s="64" t="s">
        <v>547</v>
      </c>
      <c r="Z1" s="64" t="s">
        <v>548</v>
      </c>
      <c r="AA1" s="64" t="s">
        <v>492</v>
      </c>
      <c r="AB1" s="64" t="s">
        <v>493</v>
      </c>
      <c r="AC1" s="51" t="s">
        <v>133</v>
      </c>
    </row>
    <row r="2" ht="27" customHeight="1" spans="1:29" x14ac:dyDescent="0.25">
      <c r="A2" s="52">
        <f t="shared" ref="A2:A151" si="0">IF($B2="","",ROW()-1)</f>
        <v>1</v>
      </c>
      <c r="B2" s="52" t="str">
        <f t="array" ref="B2">IFERROR(INDEX('02_DS_Nhan_Viec'!$B:$B,MATCH(1,'02_DS_Nhan_Viec'!$M:$M,0)),"")</f>
        <v>UV0726-002</v>
      </c>
      <c r="C2" s="52" t="str">
        <f t="array" ref="C2">IF($B2="","",IFERROR(IF(INDEX('02_DS_Nhan_Viec'!$J:$J,MATCH($B2,'02_DS_Nhan_Viec'!$B:$B,0))=0,"",INDEX('02_DS_Nhan_Viec'!$J:$J,MATCH($B2,'02_DS_Nhan_Viec'!$B:$B,0))),""))</f>
        <v>NV001</v>
      </c>
      <c r="D2" s="52">
        <f t="array" ref="D2">IF($C2="","",IFERROR(IF(INDEX('05_Theo_Doi_Gio_Cong_7_Ngay'!$R:$R,MATCH($C2,'05_Theo_Doi_Gio_Cong_7_Ngay'!$B:$B,0))=0,"",INDEX('05_Theo_Doi_Gio_Cong_7_Ngay'!$R:$R,MATCH($C2,'05_Theo_Doi_Gio_Cong_7_Ngay'!$B:$B,0))),""))</f>
        <v>489</v>
      </c>
      <c r="E2" s="60" t="str">
        <f t="array" ref="E2">IF($B2="","",IFERROR(IF(INDEX('01_UngVien_PhongVan'!$D:$D,MATCH($B2,'01_UngVien_PhongVan'!$B:$B,0))=0,"",INDEX('01_UngVien_PhongVan'!$D:$D,MATCH($B2,'01_UngVien_PhongVan'!$B:$B,0))),""))</f>
        <v>Lâm Ngọc Bình</v>
      </c>
      <c r="F2" s="52" t="str">
        <f t="array" ref="F2">IF($B2="","",IFERROR(IF(INDEX('01_UngVien_PhongVan'!$F:$F,MATCH($B2,'01_UngVien_PhongVan'!$B:$B,0))=0,"",INDEX('01_UngVien_PhongVan'!$F:$F,MATCH($B2,'01_UngVien_PhongVan'!$B:$B,0))),""))</f>
        <v>Nữ</v>
      </c>
      <c r="G2" s="72">
        <f t="array" ref="G2">IF($B2="","",IFERROR(IF(INDEX('01_UngVien_PhongVan'!$G:$G,MATCH($B2,'01_UngVien_PhongVan'!$B:$B,0))=0,"",INDEX('01_UngVien_PhongVan'!$G:$G,MATCH($B2,'01_UngVien_PhongVan'!$B:$B,0))),""))</f>
        <v>1997</v>
      </c>
      <c r="H2" s="52">
        <f t="array" ref="H2">IF($B2="","",IFERROR(IF(INDEX('01_UngVien_PhongVan'!$H:$H,MATCH($B2,'01_UngVien_PhongVan'!$B:$B,0))=0,"",INDEX('01_UngVien_PhongVan'!$H:$H,MATCH($B2,'01_UngVien_PhongVan'!$B:$B,0))),""))</f>
      </c>
      <c r="I2" s="60">
        <f t="array" ref="I2">IF($B2="","",IFERROR(IF(INDEX('01_UngVien_PhongVan'!$I:$I,MATCH($B2,'01_UngVien_PhongVan'!$B:$B,0))=0,"",INDEX('01_UngVien_PhongVan'!$I:$I,MATCH($B2,'01_UngVien_PhongVan'!$B:$B,0))),""))</f>
      </c>
      <c r="J2" s="60">
        <f t="array" ref="J2">IF($B2="","",IFERROR(IF(INDEX('01_UngVien_PhongVan'!$J:$J,MATCH($B2,'01_UngVien_PhongVan'!$B:$B,0))=0,"",INDEX('01_UngVien_PhongVan'!$J:$J,MATCH($B2,'01_UngVien_PhongVan'!$B:$B,0))),""))</f>
      </c>
      <c r="K2" s="73">
        <f t="array" ref="K2">IF($B2="","",IFERROR(IF(INDEX('01_UngVien_PhongVan'!$K:$K,MATCH($B2,'01_UngVien_PhongVan'!$B:$B,0))=0,"",INDEX('01_UngVien_PhongVan'!$K:$K,MATCH($B2,'01_UngVien_PhongVan'!$B:$B,0))),""))</f>
      </c>
      <c r="L2" s="60">
        <f t="array" ref="L2">IF($B2="","",IFERROR(IF(INDEX('01_UngVien_PhongVan'!$L:$L,MATCH($B2,'01_UngVien_PhongVan'!$B:$B,0))=0,"",INDEX('01_UngVien_PhongVan'!$L:$L,MATCH($B2,'01_UngVien_PhongVan'!$B:$B,0))),""))</f>
      </c>
      <c r="M2" s="60" t="str">
        <f t="array" ref="M2">IF($B2="","",IFERROR(IF(INDEX('01_UngVien_PhongVan'!$E:$E,MATCH($B2,'01_UngVien_PhongVan'!$B:$B,0))=0,"",INDEX('01_UngVien_PhongVan'!$E:$E,MATCH($B2,'01_UngVien_PhongVan'!$B:$B,0))),""))</f>
        <v>0703141419</v>
      </c>
      <c r="N2" s="60" t="str">
        <f t="array" ref="N2">IF($B2="","",IFERROR(IF(INDEX('01_UngVien_PhongVan'!$M:$M,MATCH($B2,'01_UngVien_PhongVan'!$B:$B,0))=0,"",INDEX('01_UngVien_PhongVan'!$M:$M,MATCH($B2,'01_UngVien_PhongVan'!$B:$B,0))),""))</f>
        <v>A3/9N, Ấp 1, Tân Kiên, Bình Chánh, TP.HCM</v>
      </c>
      <c r="O2" s="60">
        <f t="array" ref="O2">IF($B2="","",IFERROR(IF(INDEX('01_UngVien_PhongVan'!$N:$N,MATCH($B2,'01_UngVien_PhongVan'!$B:$B,0))=0,"",INDEX('01_UngVien_PhongVan'!$N:$N,MATCH($B2,'01_UngVien_PhongVan'!$B:$B,0))),""))</f>
      </c>
      <c r="P2" s="60">
        <f t="array" ref="P2">IF($B2="","",IFERROR(IF(INDEX('01_UngVien_PhongVan'!$O:$O,MATCH($B2,'01_UngVien_PhongVan'!$B:$B,0))=0,"",INDEX('01_UngVien_PhongVan'!$O:$O,MATCH($B2,'01_UngVien_PhongVan'!$B:$B,0))),""))</f>
      </c>
      <c r="Q2" s="60">
        <f t="array" ref="Q2">IF($B2="","",IFERROR(IF(INDEX('01_UngVien_PhongVan'!$P:$P,MATCH($B2,'01_UngVien_PhongVan'!$B:$B,0))=0,"",INDEX('01_UngVien_PhongVan'!$P:$P,MATCH($B2,'01_UngVien_PhongVan'!$B:$B,0))),""))</f>
      </c>
      <c r="R2" s="60">
        <f t="array" ref="R2">IF($B2="","",IFERROR(IF(INDEX('01_UngVien_PhongVan'!$Q:$Q,MATCH($B2,'01_UngVien_PhongVan'!$B:$B,0))=0,"",INDEX('01_UngVien_PhongVan'!$Q:$Q,MATCH($B2,'01_UngVien_PhongVan'!$B:$B,0))),""))</f>
      </c>
      <c r="S2" s="60" t="str">
        <f t="array" ref="S2">IF($B2="","",IFERROR(IF(INDEX('01_UngVien_PhongVan'!$R:$R,MATCH($B2,'01_UngVien_PhongVan'!$B:$B,0))=0,"",INDEX('01_UngVien_PhongVan'!$R:$R,MATCH($B2,'01_UngVien_PhongVan'!$B:$B,0))),""))</f>
        <v>Chuyền A</v>
      </c>
      <c r="T2" s="60">
        <f t="array" ref="T2">IF($B2="","",IFERROR(IF(INDEX('01_UngVien_PhongVan'!$U:$U,MATCH($B2,'01_UngVien_PhongVan'!$B:$B,0))=0,"",INDEX('01_UngVien_PhongVan'!$U:$U,MATCH($B2,'01_UngVien_PhongVan'!$B:$B,0))),""))</f>
      </c>
      <c r="U2" s="73">
        <f t="array" ref="U2">IF($B2="","",IFERROR(IF(INDEX('01_UngVien_PhongVan'!$C:$C,MATCH($B2,'01_UngVien_PhongVan'!$B:$B,0))=0,"",INDEX('01_UngVien_PhongVan'!$C:$C,MATCH($B2,'01_UngVien_PhongVan'!$B:$B,0))),""))</f>
        <v>46227</v>
      </c>
      <c r="V2" s="73">
        <f t="array" ref="V2">IF($B2="","",IFERROR(IF(INDEX('02_DS_Nhan_Viec'!$D:$D,MATCH($B2,'02_DS_Nhan_Viec'!$B:$B,0))=0,"",INDEX('02_DS_Nhan_Viec'!$D:$D,MATCH($B2,'02_DS_Nhan_Viec'!$B:$B,0))),""))</f>
        <v>46227</v>
      </c>
      <c r="W2" s="73">
        <f t="array" ref="W2">IF($B2="","",IFERROR(IF(INDEX('02_DS_Nhan_Viec'!$E:$E,MATCH($B2,'02_DS_Nhan_Viec'!$B:$B,0))=0,"",INDEX('02_DS_Nhan_Viec'!$E:$E,MATCH($B2,'02_DS_Nhan_Viec'!$B:$B,0))),""))</f>
        <v>46227</v>
      </c>
      <c r="X2" s="73">
        <f t="array" ref="X2">IF($C2="","",IFERROR(IF(INDEX('05_Theo_Doi_Gio_Cong_7_Ngay'!$P:$P,MATCH($C2,'05_Theo_Doi_Gio_Cong_7_Ngay'!$B:$B,0))=0,"",INDEX('05_Theo_Doi_Gio_Cong_7_Ngay'!$P:$P,MATCH($C2,'05_Theo_Doi_Gio_Cong_7_Ngay'!$B:$B,0))),""))</f>
        <v>46234</v>
      </c>
      <c r="Y2" s="60" t="str">
        <f t="array" ref="Y2">IF($C2="","",IFERROR(IF(INDEX('05_Theo_Doi_Gio_Cong_7_Ngay'!$M:$M,MATCH($C2,'05_Theo_Doi_Gio_Cong_7_Ngay'!$B:$B,0))=0,"",INDEX('05_Theo_Doi_Gio_Cong_7_Ngay'!$M:$M,MATCH($C2,'05_Theo_Doi_Gio_Cong_7_Ngay'!$B:$B,0))),""))</f>
        <v>✅ ĐỦ 7 NGÀY - Đạt chuẩn</v>
      </c>
      <c r="Z2" s="60" t="str">
        <f t="array" ref="Z2">IF($C2="","",IFERROR(IF(INDEX('05_Theo_Doi_Gio_Cong_7_Ngay'!$Q:$Q,MATCH($C2,'05_Theo_Doi_Gio_Cong_7_Ngay'!$B:$B,0))=0,"",INDEX('05_Theo_Doi_Gio_Cong_7_Ngay'!$Q:$Q,MATCH($C2,'05_Theo_Doi_Gio_Cong_7_Ngay'!$B:$B,0))),""))</f>
        <v>✅ Đủ điều kiện - Đưa đi lấy dấu vân tay</v>
      </c>
      <c r="AA2" s="60" t="str">
        <f t="array" ref="AA2">IF($B2="","",IFERROR(IF(INDEX('02_DS_Nhan_Viec'!$H:$H,MATCH($B2,'02_DS_Nhan_Viec'!$B:$B,0))=0,"",INDEX('02_DS_Nhan_Viec'!$H:$H,MATCH($B2,'02_DS_Nhan_Viec'!$B:$B,0))),""))</f>
        <v>Chuyền chặt</v>
      </c>
      <c r="AB2" s="60" t="str">
        <f t="array" ref="AB2">IF($B2="","",IFERROR(IF(INDEX('02_DS_Nhan_Viec'!$I:$I,MATCH($B2,'02_DS_Nhan_Viec'!$B:$B,0))=0,"",INDEX('02_DS_Nhan_Viec'!$I:$I,MATCH($B2,'02_DS_Nhan_Viec'!$B:$B,0))),""))</f>
        <v>Thợ chặt</v>
      </c>
      <c r="AC2" s="61" t="str">
        <f t="array" ref="AC2">IF($B2="","",IF($C2="","Đang theo dõi",IF(OR(ISNUMBER(SEARCH("Không đủ điều kiện",IFERROR(INDEX('05_Theo_Doi_Gio_Cong_7_Ngay'!$Q:$Q,MATCH($C2,'05_Theo_Doi_Gio_Cong_7_Ngay'!$B:$B,0)),""))),ISNUMBER(SEARCH("Đủ 7 ngày nhưng",IFERROR(INDEX('05_Theo_Doi_Gio_Cong_7_Ngay'!$Q:$Q,MATCH($C2,'05_Theo_Doi_Gio_Cong_7_Ngay'!$B:$B,0)),"")))),"Đã nghỉ",IF(AND(OR(ISNUMBER(SEARCH("Đủ điều kiện",IFERROR(INDEX('05_Theo_Doi_Gio_Cong_7_Ngay'!$Q:$Q,MATCH($C2,'05_Theo_Doi_Gio_Cong_7_Ngay'!$B:$B,0)),""))),ISNUMBER(SEARCH("Đã có số thẻ",IFERROR(INDEX('05_Theo_Doi_Gio_Cong_7_Ngay'!$Q:$Q,MATCH($C2,'05_Theo_Doi_Gio_Cong_7_Ngay'!$B:$B,0)),"")))),IFERROR(INDEX('05_Theo_Doi_Gio_Cong_7_Ngay'!$R:$R,MATCH($C2,'05_Theo_Doi_Gio_Cong_7_Ngay'!$B:$B,0)),"")&lt;&gt;""),IFERROR(INDEX('06_DS_Chinh_Thuc'!$K:$K,MATCH(IFERROR(INDEX('05_Theo_Doi_Gio_Cong_7_Ngay'!$R:$R,MATCH($C2,'05_Theo_Doi_Gio_Cong_7_Ngay'!$B:$B,0)),""),'06_DS_Chinh_Thuc'!$B:$B,0)),"Đang theo dõi"),"Đang theo dõi"))))</f>
        <v>Đang làm</v>
      </c>
    </row>
    <row r="3" ht="27" customHeight="1" spans="1:29" x14ac:dyDescent="0.25">
      <c r="A3" s="52">
        <f t="shared" si="0"/>
        <v>2</v>
      </c>
      <c r="B3" s="52" t="str">
        <f t="array" ref="B3">IFERROR(INDEX('02_DS_Nhan_Viec'!$B:$B,MATCH(2,'02_DS_Nhan_Viec'!$M:$M,0)),"")</f>
        <v>UV0726-003</v>
      </c>
      <c r="C3" s="52" t="str">
        <f t="array" ref="C3">IF($B3="","",IFERROR(IF(INDEX('02_DS_Nhan_Viec'!$J:$J,MATCH($B3,'02_DS_Nhan_Viec'!$B:$B,0))=0,"",INDEX('02_DS_Nhan_Viec'!$J:$J,MATCH($B3,'02_DS_Nhan_Viec'!$B:$B,0))),""))</f>
        <v>NV002</v>
      </c>
      <c r="D3" s="52">
        <f t="array" ref="D3">IF($C3="","",IFERROR(IF(INDEX('05_Theo_Doi_Gio_Cong_7_Ngay'!$R:$R,MATCH($C3,'05_Theo_Doi_Gio_Cong_7_Ngay'!$B:$B,0))=0,"",INDEX('05_Theo_Doi_Gio_Cong_7_Ngay'!$R:$R,MATCH($C3,'05_Theo_Doi_Gio_Cong_7_Ngay'!$B:$B,0))),""))</f>
        <v>488</v>
      </c>
      <c r="E3" s="60" t="str">
        <f t="array" ref="E3">IF($B3="","",IFERROR(IF(INDEX('01_UngVien_PhongVan'!$D:$D,MATCH($B3,'01_UngVien_PhongVan'!$B:$B,0))=0,"",INDEX('01_UngVien_PhongVan'!$D:$D,MATCH($B3,'01_UngVien_PhongVan'!$B:$B,0))),""))</f>
        <v>Trần Đức Trí</v>
      </c>
      <c r="F3" s="52" t="str">
        <f t="array" ref="F3">IF($B3="","",IFERROR(IF(INDEX('01_UngVien_PhongVan'!$F:$F,MATCH($B3,'01_UngVien_PhongVan'!$B:$B,0))=0,"",INDEX('01_UngVien_PhongVan'!$F:$F,MATCH($B3,'01_UngVien_PhongVan'!$B:$B,0))),""))</f>
        <v>Nam</v>
      </c>
      <c r="G3" s="72">
        <f t="array" ref="G3">IF($B3="","",IFERROR(IF(INDEX('01_UngVien_PhongVan'!$G:$G,MATCH($B3,'01_UngVien_PhongVan'!$B:$B,0))=0,"",INDEX('01_UngVien_PhongVan'!$G:$G,MATCH($B3,'01_UngVien_PhongVan'!$B:$B,0))),""))</f>
        <v>2012</v>
      </c>
      <c r="H3" s="52">
        <f t="array" ref="H3">IF($B3="","",IFERROR(IF(INDEX('01_UngVien_PhongVan'!$H:$H,MATCH($B3,'01_UngVien_PhongVan'!$B:$B,0))=0,"",INDEX('01_UngVien_PhongVan'!$H:$H,MATCH($B3,'01_UngVien_PhongVan'!$B:$B,0))),""))</f>
      </c>
      <c r="I3" s="60">
        <f t="array" ref="I3">IF($B3="","",IFERROR(IF(INDEX('01_UngVien_PhongVan'!$I:$I,MATCH($B3,'01_UngVien_PhongVan'!$B:$B,0))=0,"",INDEX('01_UngVien_PhongVan'!$I:$I,MATCH($B3,'01_UngVien_PhongVan'!$B:$B,0))),""))</f>
      </c>
      <c r="J3" s="60">
        <f t="array" ref="J3">IF($B3="","",IFERROR(IF(INDEX('01_UngVien_PhongVan'!$J:$J,MATCH($B3,'01_UngVien_PhongVan'!$B:$B,0))=0,"",INDEX('01_UngVien_PhongVan'!$J:$J,MATCH($B3,'01_UngVien_PhongVan'!$B:$B,0))),""))</f>
      </c>
      <c r="K3" s="73">
        <f t="array" ref="K3">IF($B3="","",IFERROR(IF(INDEX('01_UngVien_PhongVan'!$K:$K,MATCH($B3,'01_UngVien_PhongVan'!$B:$B,0))=0,"",INDEX('01_UngVien_PhongVan'!$K:$K,MATCH($B3,'01_UngVien_PhongVan'!$B:$B,0))),""))</f>
      </c>
      <c r="L3" s="60">
        <f t="array" ref="L3">IF($B3="","",IFERROR(IF(INDEX('01_UngVien_PhongVan'!$L:$L,MATCH($B3,'01_UngVien_PhongVan'!$B:$B,0))=0,"",INDEX('01_UngVien_PhongVan'!$L:$L,MATCH($B3,'01_UngVien_PhongVan'!$B:$B,0))),""))</f>
      </c>
      <c r="M3" s="60">
        <f t="array" ref="M3">IF($B3="","",IFERROR(IF(INDEX('01_UngVien_PhongVan'!$E:$E,MATCH($B3,'01_UngVien_PhongVan'!$B:$B,0))=0,"",INDEX('01_UngVien_PhongVan'!$E:$E,MATCH($B3,'01_UngVien_PhongVan'!$B:$B,0))),""))</f>
      </c>
      <c r="N3" s="60" t="str">
        <f t="array" ref="N3">IF($B3="","",IFERROR(IF(INDEX('01_UngVien_PhongVan'!$M:$M,MATCH($B3,'01_UngVien_PhongVan'!$B:$B,0))=0,"",INDEX('01_UngVien_PhongVan'!$M:$M,MATCH($B3,'01_UngVien_PhongVan'!$B:$B,0))),""))</f>
        <v>B15/325/114, Kênh C, đường Thế Lữ, Tân Nhựt, Bình Chánh</v>
      </c>
      <c r="O3" s="60">
        <f t="array" ref="O3">IF($B3="","",IFERROR(IF(INDEX('01_UngVien_PhongVan'!$N:$N,MATCH($B3,'01_UngVien_PhongVan'!$B:$B,0))=0,"",INDEX('01_UngVien_PhongVan'!$N:$N,MATCH($B3,'01_UngVien_PhongVan'!$B:$B,0))),""))</f>
      </c>
      <c r="P3" s="60">
        <f t="array" ref="P3">IF($B3="","",IFERROR(IF(INDEX('01_UngVien_PhongVan'!$O:$O,MATCH($B3,'01_UngVien_PhongVan'!$B:$B,0))=0,"",INDEX('01_UngVien_PhongVan'!$O:$O,MATCH($B3,'01_UngVien_PhongVan'!$B:$B,0))),""))</f>
      </c>
      <c r="Q3" s="60">
        <f t="array" ref="Q3">IF($B3="","",IFERROR(IF(INDEX('01_UngVien_PhongVan'!$P:$P,MATCH($B3,'01_UngVien_PhongVan'!$B:$B,0))=0,"",INDEX('01_UngVien_PhongVan'!$P:$P,MATCH($B3,'01_UngVien_PhongVan'!$B:$B,0))),""))</f>
      </c>
      <c r="R3" s="60">
        <f t="array" ref="R3">IF($B3="","",IFERROR(IF(INDEX('01_UngVien_PhongVan'!$Q:$Q,MATCH($B3,'01_UngVien_PhongVan'!$B:$B,0))=0,"",INDEX('01_UngVien_PhongVan'!$Q:$Q,MATCH($B3,'01_UngVien_PhongVan'!$B:$B,0))),""))</f>
      </c>
      <c r="S3" s="60">
        <f t="array" ref="S3">IF($B3="","",IFERROR(IF(INDEX('01_UngVien_PhongVan'!$R:$R,MATCH($B3,'01_UngVien_PhongVan'!$B:$B,0))=0,"",INDEX('01_UngVien_PhongVan'!$R:$R,MATCH($B3,'01_UngVien_PhongVan'!$B:$B,0))),""))</f>
      </c>
      <c r="T3" s="60">
        <f t="array" ref="T3">IF($B3="","",IFERROR(IF(INDEX('01_UngVien_PhongVan'!$U:$U,MATCH($B3,'01_UngVien_PhongVan'!$B:$B,0))=0,"",INDEX('01_UngVien_PhongVan'!$U:$U,MATCH($B3,'01_UngVien_PhongVan'!$B:$B,0))),""))</f>
      </c>
      <c r="U3" s="73">
        <f t="array" ref="U3">IF($B3="","",IFERROR(IF(INDEX('01_UngVien_PhongVan'!$C:$C,MATCH($B3,'01_UngVien_PhongVan'!$B:$B,0))=0,"",INDEX('01_UngVien_PhongVan'!$C:$C,MATCH($B3,'01_UngVien_PhongVan'!$B:$B,0))),""))</f>
        <v>46226</v>
      </c>
      <c r="V3" s="73">
        <f t="array" ref="V3">IF($B3="","",IFERROR(IF(INDEX('02_DS_Nhan_Viec'!$D:$D,MATCH($B3,'02_DS_Nhan_Viec'!$B:$B,0))=0,"",INDEX('02_DS_Nhan_Viec'!$D:$D,MATCH($B3,'02_DS_Nhan_Viec'!$B:$B,0))),""))</f>
        <v>46226</v>
      </c>
      <c r="W3" s="73">
        <f t="array" ref="W3">IF($B3="","",IFERROR(IF(INDEX('02_DS_Nhan_Viec'!$E:$E,MATCH($B3,'02_DS_Nhan_Viec'!$B:$B,0))=0,"",INDEX('02_DS_Nhan_Viec'!$E:$E,MATCH($B3,'02_DS_Nhan_Viec'!$B:$B,0))),""))</f>
        <v>46226</v>
      </c>
      <c r="X3" s="73">
        <f t="array" ref="X3">IF($C3="","",IFERROR(IF(INDEX('05_Theo_Doi_Gio_Cong_7_Ngay'!$P:$P,MATCH($C3,'05_Theo_Doi_Gio_Cong_7_Ngay'!$B:$B,0))=0,"",INDEX('05_Theo_Doi_Gio_Cong_7_Ngay'!$P:$P,MATCH($C3,'05_Theo_Doi_Gio_Cong_7_Ngay'!$B:$B,0))),""))</f>
        <v>46233</v>
      </c>
      <c r="Y3" s="60" t="str">
        <f t="array" ref="Y3">IF($C3="","",IFERROR(IF(INDEX('05_Theo_Doi_Gio_Cong_7_Ngay'!$M:$M,MATCH($C3,'05_Theo_Doi_Gio_Cong_7_Ngay'!$B:$B,0))=0,"",INDEX('05_Theo_Doi_Gio_Cong_7_Ngay'!$M:$M,MATCH($C3,'05_Theo_Doi_Gio_Cong_7_Ngay'!$B:$B,0))),""))</f>
        <v>✅ ĐỦ 7 NGÀY - Đạt chuẩn</v>
      </c>
      <c r="Z3" s="60" t="str">
        <f t="array" ref="Z3">IF($C3="","",IFERROR(IF(INDEX('05_Theo_Doi_Gio_Cong_7_Ngay'!$Q:$Q,MATCH($C3,'05_Theo_Doi_Gio_Cong_7_Ngay'!$B:$B,0))=0,"",INDEX('05_Theo_Doi_Gio_Cong_7_Ngay'!$Q:$Q,MATCH($C3,'05_Theo_Doi_Gio_Cong_7_Ngay'!$B:$B,0))),""))</f>
        <v>✅ Đủ điều kiện - Đưa đi lấy dấu vân tay</v>
      </c>
      <c r="AA3" s="60">
        <f t="array" ref="AA3">IF($B3="","",IFERROR(IF(INDEX('02_DS_Nhan_Viec'!$H:$H,MATCH($B3,'02_DS_Nhan_Viec'!$B:$B,0))=0,"",INDEX('02_DS_Nhan_Viec'!$H:$H,MATCH($B3,'02_DS_Nhan_Viec'!$B:$B,0))),""))</f>
      </c>
      <c r="AB3" s="60">
        <f t="array" ref="AB3">IF($B3="","",IFERROR(IF(INDEX('02_DS_Nhan_Viec'!$I:$I,MATCH($B3,'02_DS_Nhan_Viec'!$B:$B,0))=0,"",INDEX('02_DS_Nhan_Viec'!$I:$I,MATCH($B3,'02_DS_Nhan_Viec'!$B:$B,0))),""))</f>
      </c>
      <c r="AC3" s="61" t="str">
        <f t="array" ref="AC3">IF($B3="","",IF($C3="","Đang theo dõi",IF(OR(ISNUMBER(SEARCH("Không đủ điều kiện",IFERROR(INDEX('05_Theo_Doi_Gio_Cong_7_Ngay'!$Q:$Q,MATCH($C3,'05_Theo_Doi_Gio_Cong_7_Ngay'!$B:$B,0)),""))),ISNUMBER(SEARCH("Đủ 7 ngày nhưng",IFERROR(INDEX('05_Theo_Doi_Gio_Cong_7_Ngay'!$Q:$Q,MATCH($C3,'05_Theo_Doi_Gio_Cong_7_Ngay'!$B:$B,0)),"")))),"Đã nghỉ",IF(AND(OR(ISNUMBER(SEARCH("Đủ điều kiện",IFERROR(INDEX('05_Theo_Doi_Gio_Cong_7_Ngay'!$Q:$Q,MATCH($C3,'05_Theo_Doi_Gio_Cong_7_Ngay'!$B:$B,0)),""))),ISNUMBER(SEARCH("Đã có số thẻ",IFERROR(INDEX('05_Theo_Doi_Gio_Cong_7_Ngay'!$Q:$Q,MATCH($C3,'05_Theo_Doi_Gio_Cong_7_Ngay'!$B:$B,0)),"")))),IFERROR(INDEX('05_Theo_Doi_Gio_Cong_7_Ngay'!$R:$R,MATCH($C3,'05_Theo_Doi_Gio_Cong_7_Ngay'!$B:$B,0)),"")&lt;&gt;""),IFERROR(INDEX('06_DS_Chinh_Thuc'!$K:$K,MATCH(IFERROR(INDEX('05_Theo_Doi_Gio_Cong_7_Ngay'!$R:$R,MATCH($C3,'05_Theo_Doi_Gio_Cong_7_Ngay'!$B:$B,0)),""),'06_DS_Chinh_Thuc'!$B:$B,0)),"Đang theo dõi"),"Đang theo dõi"))))</f>
        <v>Đang làm</v>
      </c>
    </row>
    <row r="4" ht="27" customHeight="1" spans="1:29" x14ac:dyDescent="0.25">
      <c r="A4" s="52">
        <f t="shared" si="0"/>
        <v>3</v>
      </c>
      <c r="B4" s="52" t="str">
        <f t="array" ref="B4">IFERROR(INDEX('02_DS_Nhan_Viec'!$B:$B,MATCH(3,'02_DS_Nhan_Viec'!$M:$M,0)),"")</f>
        <v>UV0726-005</v>
      </c>
      <c r="C4" s="52" t="str">
        <f t="array" ref="C4">IF($B4="","",IFERROR(IF(INDEX('02_DS_Nhan_Viec'!$J:$J,MATCH($B4,'02_DS_Nhan_Viec'!$B:$B,0))=0,"",INDEX('02_DS_Nhan_Viec'!$J:$J,MATCH($B4,'02_DS_Nhan_Viec'!$B:$B,0))),""))</f>
        <v>NV003</v>
      </c>
      <c r="D4" s="52">
        <f t="array" ref="D4">IF($C4="","",IFERROR(IF(INDEX('05_Theo_Doi_Gio_Cong_7_Ngay'!$R:$R,MATCH($C4,'05_Theo_Doi_Gio_Cong_7_Ngay'!$B:$B,0))=0,"",INDEX('05_Theo_Doi_Gio_Cong_7_Ngay'!$R:$R,MATCH($C4,'05_Theo_Doi_Gio_Cong_7_Ngay'!$B:$B,0))),""))</f>
        <v>484</v>
      </c>
      <c r="E4" s="60" t="str">
        <f t="array" ref="E4">IF($B4="","",IFERROR(IF(INDEX('01_UngVien_PhongVan'!$D:$D,MATCH($B4,'01_UngVien_PhongVan'!$B:$B,0))=0,"",INDEX('01_UngVien_PhongVan'!$D:$D,MATCH($B4,'01_UngVien_PhongVan'!$B:$B,0))),""))</f>
        <v>Nguyễn Hoàng Thiện</v>
      </c>
      <c r="F4" s="52" t="str">
        <f t="array" ref="F4">IF($B4="","",IFERROR(IF(INDEX('01_UngVien_PhongVan'!$F:$F,MATCH($B4,'01_UngVien_PhongVan'!$B:$B,0))=0,"",INDEX('01_UngVien_PhongVan'!$F:$F,MATCH($B4,'01_UngVien_PhongVan'!$B:$B,0))),""))</f>
        <v>Nam</v>
      </c>
      <c r="G4" s="72">
        <f t="array" ref="G4">IF($B4="","",IFERROR(IF(INDEX('01_UngVien_PhongVan'!$G:$G,MATCH($B4,'01_UngVien_PhongVan'!$B:$B,0))=0,"",INDEX('01_UngVien_PhongVan'!$G:$G,MATCH($B4,'01_UngVien_PhongVan'!$B:$B,0))),""))</f>
        <v>2009</v>
      </c>
      <c r="H4" s="52">
        <f t="array" ref="H4">IF($B4="","",IFERROR(IF(INDEX('01_UngVien_PhongVan'!$H:$H,MATCH($B4,'01_UngVien_PhongVan'!$B:$B,0))=0,"",INDEX('01_UngVien_PhongVan'!$H:$H,MATCH($B4,'01_UngVien_PhongVan'!$B:$B,0))),""))</f>
      </c>
      <c r="I4" s="60">
        <f t="array" ref="I4">IF($B4="","",IFERROR(IF(INDEX('01_UngVien_PhongVan'!$I:$I,MATCH($B4,'01_UngVien_PhongVan'!$B:$B,0))=0,"",INDEX('01_UngVien_PhongVan'!$I:$I,MATCH($B4,'01_UngVien_PhongVan'!$B:$B,0))),""))</f>
      </c>
      <c r="J4" s="60">
        <f t="array" ref="J4">IF($B4="","",IFERROR(IF(INDEX('01_UngVien_PhongVan'!$J:$J,MATCH($B4,'01_UngVien_PhongVan'!$B:$B,0))=0,"",INDEX('01_UngVien_PhongVan'!$J:$J,MATCH($B4,'01_UngVien_PhongVan'!$B:$B,0))),""))</f>
      </c>
      <c r="K4" s="73">
        <f t="array" ref="K4">IF($B4="","",IFERROR(IF(INDEX('01_UngVien_PhongVan'!$K:$K,MATCH($B4,'01_UngVien_PhongVan'!$B:$B,0))=0,"",INDEX('01_UngVien_PhongVan'!$K:$K,MATCH($B4,'01_UngVien_PhongVan'!$B:$B,0))),""))</f>
      </c>
      <c r="L4" s="60">
        <f t="array" ref="L4">IF($B4="","",IFERROR(IF(INDEX('01_UngVien_PhongVan'!$L:$L,MATCH($B4,'01_UngVien_PhongVan'!$B:$B,0))=0,"",INDEX('01_UngVien_PhongVan'!$L:$L,MATCH($B4,'01_UngVien_PhongVan'!$B:$B,0))),""))</f>
      </c>
      <c r="M4" s="60" t="str">
        <f t="array" ref="M4">IF($B4="","",IFERROR(IF(INDEX('01_UngVien_PhongVan'!$E:$E,MATCH($B4,'01_UngVien_PhongVan'!$B:$B,0))=0,"",INDEX('01_UngVien_PhongVan'!$E:$E,MATCH($B4,'01_UngVien_PhongVan'!$B:$B,0))),""))</f>
        <v>0704696156</v>
      </c>
      <c r="N4" s="60" t="str">
        <f t="array" ref="N4">IF($B4="","",IFERROR(IF(INDEX('01_UngVien_PhongVan'!$M:$M,MATCH($B4,'01_UngVien_PhongVan'!$B:$B,0))=0,"",INDEX('01_UngVien_PhongVan'!$M:$M,MATCH($B4,'01_UngVien_PhongVan'!$B:$B,0))),""))</f>
        <v>Ấp 1, xã Tân Quý Tây, Bình Chánh, TP.HCM</v>
      </c>
      <c r="O4" s="60">
        <f t="array" ref="O4">IF($B4="","",IFERROR(IF(INDEX('01_UngVien_PhongVan'!$N:$N,MATCH($B4,'01_UngVien_PhongVan'!$B:$B,0))=0,"",INDEX('01_UngVien_PhongVan'!$N:$N,MATCH($B4,'01_UngVien_PhongVan'!$B:$B,0))),""))</f>
      </c>
      <c r="P4" s="60">
        <f t="array" ref="P4">IF($B4="","",IFERROR(IF(INDEX('01_UngVien_PhongVan'!$O:$O,MATCH($B4,'01_UngVien_PhongVan'!$B:$B,0))=0,"",INDEX('01_UngVien_PhongVan'!$O:$O,MATCH($B4,'01_UngVien_PhongVan'!$B:$B,0))),""))</f>
      </c>
      <c r="Q4" s="60">
        <f t="array" ref="Q4">IF($B4="","",IFERROR(IF(INDEX('01_UngVien_PhongVan'!$P:$P,MATCH($B4,'01_UngVien_PhongVan'!$B:$B,0))=0,"",INDEX('01_UngVien_PhongVan'!$P:$P,MATCH($B4,'01_UngVien_PhongVan'!$B:$B,0))),""))</f>
      </c>
      <c r="R4" s="60">
        <f t="array" ref="R4">IF($B4="","",IFERROR(IF(INDEX('01_UngVien_PhongVan'!$Q:$Q,MATCH($B4,'01_UngVien_PhongVan'!$B:$B,0))=0,"",INDEX('01_UngVien_PhongVan'!$Q:$Q,MATCH($B4,'01_UngVien_PhongVan'!$B:$B,0))),""))</f>
      </c>
      <c r="S4" s="60">
        <f t="array" ref="S4">IF($B4="","",IFERROR(IF(INDEX('01_UngVien_PhongVan'!$R:$R,MATCH($B4,'01_UngVien_PhongVan'!$B:$B,0))=0,"",INDEX('01_UngVien_PhongVan'!$R:$R,MATCH($B4,'01_UngVien_PhongVan'!$B:$B,0))),""))</f>
      </c>
      <c r="T4" s="60">
        <f t="array" ref="T4">IF($B4="","",IFERROR(IF(INDEX('01_UngVien_PhongVan'!$U:$U,MATCH($B4,'01_UngVien_PhongVan'!$B:$B,0))=0,"",INDEX('01_UngVien_PhongVan'!$U:$U,MATCH($B4,'01_UngVien_PhongVan'!$B:$B,0))),""))</f>
      </c>
      <c r="U4" s="73">
        <f t="array" ref="U4">IF($B4="","",IFERROR(IF(INDEX('01_UngVien_PhongVan'!$C:$C,MATCH($B4,'01_UngVien_PhongVan'!$B:$B,0))=0,"",INDEX('01_UngVien_PhongVan'!$C:$C,MATCH($B4,'01_UngVien_PhongVan'!$B:$B,0))),""))</f>
        <v>46218</v>
      </c>
      <c r="V4" s="73">
        <f t="array" ref="V4">IF($B4="","",IFERROR(IF(INDEX('02_DS_Nhan_Viec'!$D:$D,MATCH($B4,'02_DS_Nhan_Viec'!$B:$B,0))=0,"",INDEX('02_DS_Nhan_Viec'!$D:$D,MATCH($B4,'02_DS_Nhan_Viec'!$B:$B,0))),""))</f>
        <v>46218</v>
      </c>
      <c r="W4" s="73">
        <f t="array" ref="W4">IF($B4="","",IFERROR(IF(INDEX('02_DS_Nhan_Viec'!$E:$E,MATCH($B4,'02_DS_Nhan_Viec'!$B:$B,0))=0,"",INDEX('02_DS_Nhan_Viec'!$E:$E,MATCH($B4,'02_DS_Nhan_Viec'!$B:$B,0))),""))</f>
        <v>46218</v>
      </c>
      <c r="X4" s="73">
        <f t="array" ref="X4">IF($C4="","",IFERROR(IF(INDEX('05_Theo_Doi_Gio_Cong_7_Ngay'!$P:$P,MATCH($C4,'05_Theo_Doi_Gio_Cong_7_Ngay'!$B:$B,0))=0,"",INDEX('05_Theo_Doi_Gio_Cong_7_Ngay'!$P:$P,MATCH($C4,'05_Theo_Doi_Gio_Cong_7_Ngay'!$B:$B,0))),""))</f>
        <v>46225</v>
      </c>
      <c r="Y4" s="60" t="str">
        <f t="array" ref="Y4">IF($C4="","",IFERROR(IF(INDEX('05_Theo_Doi_Gio_Cong_7_Ngay'!$M:$M,MATCH($C4,'05_Theo_Doi_Gio_Cong_7_Ngay'!$B:$B,0))=0,"",INDEX('05_Theo_Doi_Gio_Cong_7_Ngay'!$M:$M,MATCH($C4,'05_Theo_Doi_Gio_Cong_7_Ngay'!$B:$B,0))),""))</f>
        <v>✅ ĐỦ 7 NGÀY - Đạt chuẩn</v>
      </c>
      <c r="Z4" s="60" t="str">
        <f t="array" ref="Z4">IF($C4="","",IFERROR(IF(INDEX('05_Theo_Doi_Gio_Cong_7_Ngay'!$Q:$Q,MATCH($C4,'05_Theo_Doi_Gio_Cong_7_Ngay'!$B:$B,0))=0,"",INDEX('05_Theo_Doi_Gio_Cong_7_Ngay'!$Q:$Q,MATCH($C4,'05_Theo_Doi_Gio_Cong_7_Ngay'!$B:$B,0))),""))</f>
        <v>✅ Đủ điều kiện - Đưa đi lấy dấu vân tay</v>
      </c>
      <c r="AA4" s="60" t="str">
        <f t="array" ref="AA4">IF($B4="","",IFERROR(IF(INDEX('02_DS_Nhan_Viec'!$H:$H,MATCH($B4,'02_DS_Nhan_Viec'!$B:$B,0))=0,"",INDEX('02_DS_Nhan_Viec'!$H:$H,MATCH($B4,'02_DS_Nhan_Viec'!$B:$B,0))),""))</f>
        <v>Chuyền chặt</v>
      </c>
      <c r="AB4" s="60" t="str">
        <f t="array" ref="AB4">IF($B4="","",IFERROR(IF(INDEX('02_DS_Nhan_Viec'!$I:$I,MATCH($B4,'02_DS_Nhan_Viec'!$B:$B,0))=0,"",INDEX('02_DS_Nhan_Viec'!$I:$I,MATCH($B4,'02_DS_Nhan_Viec'!$B:$B,0))),""))</f>
        <v>Thợ chặt</v>
      </c>
      <c r="AC4" s="61" t="str">
        <f t="array" ref="AC4">IF($B4="","",IF($C4="","Đang theo dõi",IF(OR(ISNUMBER(SEARCH("Không đủ điều kiện",IFERROR(INDEX('05_Theo_Doi_Gio_Cong_7_Ngay'!$Q:$Q,MATCH($C4,'05_Theo_Doi_Gio_Cong_7_Ngay'!$B:$B,0)),""))),ISNUMBER(SEARCH("Đủ 7 ngày nhưng",IFERROR(INDEX('05_Theo_Doi_Gio_Cong_7_Ngay'!$Q:$Q,MATCH($C4,'05_Theo_Doi_Gio_Cong_7_Ngay'!$B:$B,0)),"")))),"Đã nghỉ",IF(AND(OR(ISNUMBER(SEARCH("Đủ điều kiện",IFERROR(INDEX('05_Theo_Doi_Gio_Cong_7_Ngay'!$Q:$Q,MATCH($C4,'05_Theo_Doi_Gio_Cong_7_Ngay'!$B:$B,0)),""))),ISNUMBER(SEARCH("Đã có số thẻ",IFERROR(INDEX('05_Theo_Doi_Gio_Cong_7_Ngay'!$Q:$Q,MATCH($C4,'05_Theo_Doi_Gio_Cong_7_Ngay'!$B:$B,0)),"")))),IFERROR(INDEX('05_Theo_Doi_Gio_Cong_7_Ngay'!$R:$R,MATCH($C4,'05_Theo_Doi_Gio_Cong_7_Ngay'!$B:$B,0)),"")&lt;&gt;""),IFERROR(INDEX('06_DS_Chinh_Thuc'!$K:$K,MATCH(IFERROR(INDEX('05_Theo_Doi_Gio_Cong_7_Ngay'!$R:$R,MATCH($C4,'05_Theo_Doi_Gio_Cong_7_Ngay'!$B:$B,0)),""),'06_DS_Chinh_Thuc'!$B:$B,0)),"Đang theo dõi"),"Đang theo dõi"))))</f>
        <v>Đang làm</v>
      </c>
    </row>
    <row r="5" ht="27" customHeight="1" spans="1:29" x14ac:dyDescent="0.25">
      <c r="A5" s="52">
        <f t="shared" si="0"/>
        <v>4</v>
      </c>
      <c r="B5" s="52" t="str">
        <f t="array" ref="B5">IFERROR(INDEX('02_DS_Nhan_Viec'!$B:$B,MATCH(4,'02_DS_Nhan_Viec'!$M:$M,0)),"")</f>
        <v>UV0726-006</v>
      </c>
      <c r="C5" s="52" t="str">
        <f t="array" ref="C5">IF($B5="","",IFERROR(IF(INDEX('02_DS_Nhan_Viec'!$J:$J,MATCH($B5,'02_DS_Nhan_Viec'!$B:$B,0))=0,"",INDEX('02_DS_Nhan_Viec'!$J:$J,MATCH($B5,'02_DS_Nhan_Viec'!$B:$B,0))),""))</f>
        <v>NV004</v>
      </c>
      <c r="D5" s="52">
        <f t="array" ref="D5">IF($C5="","",IFERROR(IF(INDEX('05_Theo_Doi_Gio_Cong_7_Ngay'!$R:$R,MATCH($C5,'05_Theo_Doi_Gio_Cong_7_Ngay'!$B:$B,0))=0,"",INDEX('05_Theo_Doi_Gio_Cong_7_Ngay'!$R:$R,MATCH($C5,'05_Theo_Doi_Gio_Cong_7_Ngay'!$B:$B,0))),""))</f>
        <v>483</v>
      </c>
      <c r="E5" s="60" t="str">
        <f t="array" ref="E5">IF($B5="","",IFERROR(IF(INDEX('01_UngVien_PhongVan'!$D:$D,MATCH($B5,'01_UngVien_PhongVan'!$B:$B,0))=0,"",INDEX('01_UngVien_PhongVan'!$D:$D,MATCH($B5,'01_UngVien_PhongVan'!$B:$B,0))),""))</f>
        <v>Võ Quốc Kiệt</v>
      </c>
      <c r="F5" s="52" t="str">
        <f t="array" ref="F5">IF($B5="","",IFERROR(IF(INDEX('01_UngVien_PhongVan'!$F:$F,MATCH($B5,'01_UngVien_PhongVan'!$B:$B,0))=0,"",INDEX('01_UngVien_PhongVan'!$F:$F,MATCH($B5,'01_UngVien_PhongVan'!$B:$B,0))),""))</f>
        <v>Nam</v>
      </c>
      <c r="G5" s="72">
        <f t="array" ref="G5">IF($B5="","",IFERROR(IF(INDEX('01_UngVien_PhongVan'!$G:$G,MATCH($B5,'01_UngVien_PhongVan'!$B:$B,0))=0,"",INDEX('01_UngVien_PhongVan'!$G:$G,MATCH($B5,'01_UngVien_PhongVan'!$B:$B,0))),""))</f>
        <v>2009</v>
      </c>
      <c r="H5" s="52">
        <f t="array" ref="H5">IF($B5="","",IFERROR(IF(INDEX('01_UngVien_PhongVan'!$H:$H,MATCH($B5,'01_UngVien_PhongVan'!$B:$B,0))=0,"",INDEX('01_UngVien_PhongVan'!$H:$H,MATCH($B5,'01_UngVien_PhongVan'!$B:$B,0))),""))</f>
      </c>
      <c r="I5" s="60">
        <f t="array" ref="I5">IF($B5="","",IFERROR(IF(INDEX('01_UngVien_PhongVan'!$I:$I,MATCH($B5,'01_UngVien_PhongVan'!$B:$B,0))=0,"",INDEX('01_UngVien_PhongVan'!$I:$I,MATCH($B5,'01_UngVien_PhongVan'!$B:$B,0))),""))</f>
      </c>
      <c r="J5" s="60">
        <f t="array" ref="J5">IF($B5="","",IFERROR(IF(INDEX('01_UngVien_PhongVan'!$J:$J,MATCH($B5,'01_UngVien_PhongVan'!$B:$B,0))=0,"",INDEX('01_UngVien_PhongVan'!$J:$J,MATCH($B5,'01_UngVien_PhongVan'!$B:$B,0))),""))</f>
      </c>
      <c r="K5" s="73">
        <f t="array" ref="K5">IF($B5="","",IFERROR(IF(INDEX('01_UngVien_PhongVan'!$K:$K,MATCH($B5,'01_UngVien_PhongVan'!$B:$B,0))=0,"",INDEX('01_UngVien_PhongVan'!$K:$K,MATCH($B5,'01_UngVien_PhongVan'!$B:$B,0))),""))</f>
      </c>
      <c r="L5" s="60">
        <f t="array" ref="L5">IF($B5="","",IFERROR(IF(INDEX('01_UngVien_PhongVan'!$L:$L,MATCH($B5,'01_UngVien_PhongVan'!$B:$B,0))=0,"",INDEX('01_UngVien_PhongVan'!$L:$L,MATCH($B5,'01_UngVien_PhongVan'!$B:$B,0))),""))</f>
      </c>
      <c r="M5" s="60" t="str">
        <f t="array" ref="M5">IF($B5="","",IFERROR(IF(INDEX('01_UngVien_PhongVan'!$E:$E,MATCH($B5,'01_UngVien_PhongVan'!$B:$B,0))=0,"",INDEX('01_UngVien_PhongVan'!$E:$E,MATCH($B5,'01_UngVien_PhongVan'!$B:$B,0))),""))</f>
        <v>0906081847</v>
      </c>
      <c r="N5" s="60" t="str">
        <f t="array" ref="N5">IF($B5="","",IFERROR(IF(INDEX('01_UngVien_PhongVan'!$M:$M,MATCH($B5,'01_UngVien_PhongVan'!$B:$B,0))=0,"",INDEX('01_UngVien_PhongVan'!$M:$M,MATCH($B5,'01_UngVien_PhongVan'!$B:$B,0))),""))</f>
        <v>A13/12, tổ 18, Tân Nhựt, TP.HCM</v>
      </c>
      <c r="O5" s="60">
        <f t="array" ref="O5">IF($B5="","",IFERROR(IF(INDEX('01_UngVien_PhongVan'!$N:$N,MATCH($B5,'01_UngVien_PhongVan'!$B:$B,0))=0,"",INDEX('01_UngVien_PhongVan'!$N:$N,MATCH($B5,'01_UngVien_PhongVan'!$B:$B,0))),""))</f>
      </c>
      <c r="P5" s="60">
        <f t="array" ref="P5">IF($B5="","",IFERROR(IF(INDEX('01_UngVien_PhongVan'!$O:$O,MATCH($B5,'01_UngVien_PhongVan'!$B:$B,0))=0,"",INDEX('01_UngVien_PhongVan'!$O:$O,MATCH($B5,'01_UngVien_PhongVan'!$B:$B,0))),""))</f>
      </c>
      <c r="Q5" s="60">
        <f t="array" ref="Q5">IF($B5="","",IFERROR(IF(INDEX('01_UngVien_PhongVan'!$P:$P,MATCH($B5,'01_UngVien_PhongVan'!$B:$B,0))=0,"",INDEX('01_UngVien_PhongVan'!$P:$P,MATCH($B5,'01_UngVien_PhongVan'!$B:$B,0))),""))</f>
      </c>
      <c r="R5" s="60">
        <f t="array" ref="R5">IF($B5="","",IFERROR(IF(INDEX('01_UngVien_PhongVan'!$Q:$Q,MATCH($B5,'01_UngVien_PhongVan'!$B:$B,0))=0,"",INDEX('01_UngVien_PhongVan'!$Q:$Q,MATCH($B5,'01_UngVien_PhongVan'!$B:$B,0))),""))</f>
      </c>
      <c r="S5" s="60">
        <f t="array" ref="S5">IF($B5="","",IFERROR(IF(INDEX('01_UngVien_PhongVan'!$R:$R,MATCH($B5,'01_UngVien_PhongVan'!$B:$B,0))=0,"",INDEX('01_UngVien_PhongVan'!$R:$R,MATCH($B5,'01_UngVien_PhongVan'!$B:$B,0))),""))</f>
      </c>
      <c r="T5" s="60">
        <f t="array" ref="T5">IF($B5="","",IFERROR(IF(INDEX('01_UngVien_PhongVan'!$U:$U,MATCH($B5,'01_UngVien_PhongVan'!$B:$B,0))=0,"",INDEX('01_UngVien_PhongVan'!$U:$U,MATCH($B5,'01_UngVien_PhongVan'!$B:$B,0))),""))</f>
      </c>
      <c r="U5" s="73">
        <f t="array" ref="U5">IF($B5="","",IFERROR(IF(INDEX('01_UngVien_PhongVan'!$C:$C,MATCH($B5,'01_UngVien_PhongVan'!$B:$B,0))=0,"",INDEX('01_UngVien_PhongVan'!$C:$C,MATCH($B5,'01_UngVien_PhongVan'!$B:$B,0))),""))</f>
        <v>46218</v>
      </c>
      <c r="V5" s="73">
        <f t="array" ref="V5">IF($B5="","",IFERROR(IF(INDEX('02_DS_Nhan_Viec'!$D:$D,MATCH($B5,'02_DS_Nhan_Viec'!$B:$B,0))=0,"",INDEX('02_DS_Nhan_Viec'!$D:$D,MATCH($B5,'02_DS_Nhan_Viec'!$B:$B,0))),""))</f>
        <v>46218</v>
      </c>
      <c r="W5" s="73">
        <f t="array" ref="W5">IF($B5="","",IFERROR(IF(INDEX('02_DS_Nhan_Viec'!$E:$E,MATCH($B5,'02_DS_Nhan_Viec'!$B:$B,0))=0,"",INDEX('02_DS_Nhan_Viec'!$E:$E,MATCH($B5,'02_DS_Nhan_Viec'!$B:$B,0))),""))</f>
        <v>46218</v>
      </c>
      <c r="X5" s="73">
        <f t="array" ref="X5">IF($C5="","",IFERROR(IF(INDEX('05_Theo_Doi_Gio_Cong_7_Ngay'!$P:$P,MATCH($C5,'05_Theo_Doi_Gio_Cong_7_Ngay'!$B:$B,0))=0,"",INDEX('05_Theo_Doi_Gio_Cong_7_Ngay'!$P:$P,MATCH($C5,'05_Theo_Doi_Gio_Cong_7_Ngay'!$B:$B,0))),""))</f>
        <v>46225</v>
      </c>
      <c r="Y5" s="60" t="str">
        <f t="array" ref="Y5">IF($C5="","",IFERROR(IF(INDEX('05_Theo_Doi_Gio_Cong_7_Ngay'!$M:$M,MATCH($C5,'05_Theo_Doi_Gio_Cong_7_Ngay'!$B:$B,0))=0,"",INDEX('05_Theo_Doi_Gio_Cong_7_Ngay'!$M:$M,MATCH($C5,'05_Theo_Doi_Gio_Cong_7_Ngay'!$B:$B,0))),""))</f>
        <v>✅ ĐỦ 7 NGÀY - Đạt chuẩn</v>
      </c>
      <c r="Z5" s="60" t="str">
        <f t="array" ref="Z5">IF($C5="","",IFERROR(IF(INDEX('05_Theo_Doi_Gio_Cong_7_Ngay'!$Q:$Q,MATCH($C5,'05_Theo_Doi_Gio_Cong_7_Ngay'!$B:$B,0))=0,"",INDEX('05_Theo_Doi_Gio_Cong_7_Ngay'!$Q:$Q,MATCH($C5,'05_Theo_Doi_Gio_Cong_7_Ngay'!$B:$B,0))),""))</f>
        <v>🔵 Đã có số thẻ (NV cũ)</v>
      </c>
      <c r="AA5" s="60" t="str">
        <f t="array" ref="AA5">IF($B5="","",IFERROR(IF(INDEX('02_DS_Nhan_Viec'!$H:$H,MATCH($B5,'02_DS_Nhan_Viec'!$B:$B,0))=0,"",INDEX('02_DS_Nhan_Viec'!$H:$H,MATCH($B5,'02_DS_Nhan_Viec'!$B:$B,0))),""))</f>
        <v>Chuyền chặt</v>
      </c>
      <c r="AB5" s="60" t="str">
        <f t="array" ref="AB5">IF($B5="","",IFERROR(IF(INDEX('02_DS_Nhan_Viec'!$I:$I,MATCH($B5,'02_DS_Nhan_Viec'!$B:$B,0))=0,"",INDEX('02_DS_Nhan_Viec'!$I:$I,MATCH($B5,'02_DS_Nhan_Viec'!$B:$B,0))),""))</f>
        <v>Thợ chặt</v>
      </c>
      <c r="AC5" s="61" t="str">
        <f t="array" ref="AC5">IF($B5="","",IF($C5="","Đang theo dõi",IF(OR(ISNUMBER(SEARCH("Không đủ điều kiện",IFERROR(INDEX('05_Theo_Doi_Gio_Cong_7_Ngay'!$Q:$Q,MATCH($C5,'05_Theo_Doi_Gio_Cong_7_Ngay'!$B:$B,0)),""))),ISNUMBER(SEARCH("Đủ 7 ngày nhưng",IFERROR(INDEX('05_Theo_Doi_Gio_Cong_7_Ngay'!$Q:$Q,MATCH($C5,'05_Theo_Doi_Gio_Cong_7_Ngay'!$B:$B,0)),"")))),"Đã nghỉ",IF(AND(OR(ISNUMBER(SEARCH("Đủ điều kiện",IFERROR(INDEX('05_Theo_Doi_Gio_Cong_7_Ngay'!$Q:$Q,MATCH($C5,'05_Theo_Doi_Gio_Cong_7_Ngay'!$B:$B,0)),""))),ISNUMBER(SEARCH("Đã có số thẻ",IFERROR(INDEX('05_Theo_Doi_Gio_Cong_7_Ngay'!$Q:$Q,MATCH($C5,'05_Theo_Doi_Gio_Cong_7_Ngay'!$B:$B,0)),"")))),IFERROR(INDEX('05_Theo_Doi_Gio_Cong_7_Ngay'!$R:$R,MATCH($C5,'05_Theo_Doi_Gio_Cong_7_Ngay'!$B:$B,0)),"")&lt;&gt;""),IFERROR(INDEX('06_DS_Chinh_Thuc'!$K:$K,MATCH(IFERROR(INDEX('05_Theo_Doi_Gio_Cong_7_Ngay'!$R:$R,MATCH($C5,'05_Theo_Doi_Gio_Cong_7_Ngay'!$B:$B,0)),""),'06_DS_Chinh_Thuc'!$B:$B,0)),"Đang theo dõi"),"Đang theo dõi"))))</f>
        <v>Đang làm</v>
      </c>
    </row>
    <row r="6" ht="27" customHeight="1" spans="1:29" x14ac:dyDescent="0.25">
      <c r="A6" s="52">
        <f t="shared" si="0"/>
        <v>5</v>
      </c>
      <c r="B6" s="52" t="str">
        <f t="array" ref="B6">IFERROR(INDEX('02_DS_Nhan_Viec'!$B:$B,MATCH(5,'02_DS_Nhan_Viec'!$M:$M,0)),"")</f>
        <v>UV0726-008</v>
      </c>
      <c r="C6" s="52" t="str">
        <f t="array" ref="C6">IF($B6="","",IFERROR(IF(INDEX('02_DS_Nhan_Viec'!$J:$J,MATCH($B6,'02_DS_Nhan_Viec'!$B:$B,0))=0,"",INDEX('02_DS_Nhan_Viec'!$J:$J,MATCH($B6,'02_DS_Nhan_Viec'!$B:$B,0))),""))</f>
        <v>NV005</v>
      </c>
      <c r="D6" s="52">
        <f t="array" ref="D6">IF($C6="","",IFERROR(IF(INDEX('05_Theo_Doi_Gio_Cong_7_Ngay'!$R:$R,MATCH($C6,'05_Theo_Doi_Gio_Cong_7_Ngay'!$B:$B,0))=0,"",INDEX('05_Theo_Doi_Gio_Cong_7_Ngay'!$R:$R,MATCH($C6,'05_Theo_Doi_Gio_Cong_7_Ngay'!$B:$B,0))),""))</f>
        <v>477</v>
      </c>
      <c r="E6" s="60" t="str">
        <f t="array" ref="E6">IF($B6="","",IFERROR(IF(INDEX('01_UngVien_PhongVan'!$D:$D,MATCH($B6,'01_UngVien_PhongVan'!$B:$B,0))=0,"",INDEX('01_UngVien_PhongVan'!$D:$D,MATCH($B6,'01_UngVien_PhongVan'!$B:$B,0))),""))</f>
        <v>Nguyễn Thị Thuý</v>
      </c>
      <c r="F6" s="52" t="str">
        <f t="array" ref="F6">IF($B6="","",IFERROR(IF(INDEX('01_UngVien_PhongVan'!$F:$F,MATCH($B6,'01_UngVien_PhongVan'!$B:$B,0))=0,"",INDEX('01_UngVien_PhongVan'!$F:$F,MATCH($B6,'01_UngVien_PhongVan'!$B:$B,0))),""))</f>
        <v>Nữ</v>
      </c>
      <c r="G6" s="72">
        <f t="array" ref="G6">IF($B6="","",IFERROR(IF(INDEX('01_UngVien_PhongVan'!$G:$G,MATCH($B6,'01_UngVien_PhongVan'!$B:$B,0))=0,"",INDEX('01_UngVien_PhongVan'!$G:$G,MATCH($B6,'01_UngVien_PhongVan'!$B:$B,0))),""))</f>
        <v>1970</v>
      </c>
      <c r="H6" s="52">
        <f t="array" ref="H6">IF($B6="","",IFERROR(IF(INDEX('01_UngVien_PhongVan'!$H:$H,MATCH($B6,'01_UngVien_PhongVan'!$B:$B,0))=0,"",INDEX('01_UngVien_PhongVan'!$H:$H,MATCH($B6,'01_UngVien_PhongVan'!$B:$B,0))),""))</f>
      </c>
      <c r="I6" s="60">
        <f t="array" ref="I6">IF($B6="","",IFERROR(IF(INDEX('01_UngVien_PhongVan'!$I:$I,MATCH($B6,'01_UngVien_PhongVan'!$B:$B,0))=0,"",INDEX('01_UngVien_PhongVan'!$I:$I,MATCH($B6,'01_UngVien_PhongVan'!$B:$B,0))),""))</f>
      </c>
      <c r="J6" s="60">
        <f t="array" ref="J6">IF($B6="","",IFERROR(IF(INDEX('01_UngVien_PhongVan'!$J:$J,MATCH($B6,'01_UngVien_PhongVan'!$B:$B,0))=0,"",INDEX('01_UngVien_PhongVan'!$J:$J,MATCH($B6,'01_UngVien_PhongVan'!$B:$B,0))),""))</f>
      </c>
      <c r="K6" s="73">
        <f t="array" ref="K6">IF($B6="","",IFERROR(IF(INDEX('01_UngVien_PhongVan'!$K:$K,MATCH($B6,'01_UngVien_PhongVan'!$B:$B,0))=0,"",INDEX('01_UngVien_PhongVan'!$K:$K,MATCH($B6,'01_UngVien_PhongVan'!$B:$B,0))),""))</f>
      </c>
      <c r="L6" s="60">
        <f t="array" ref="L6">IF($B6="","",IFERROR(IF(INDEX('01_UngVien_PhongVan'!$L:$L,MATCH($B6,'01_UngVien_PhongVan'!$B:$B,0))=0,"",INDEX('01_UngVien_PhongVan'!$L:$L,MATCH($B6,'01_UngVien_PhongVan'!$B:$B,0))),""))</f>
      </c>
      <c r="M6" s="60" t="str">
        <f t="array" ref="M6">IF($B6="","",IFERROR(IF(INDEX('01_UngVien_PhongVan'!$E:$E,MATCH($B6,'01_UngVien_PhongVan'!$B:$B,0))=0,"",INDEX('01_UngVien_PhongVan'!$E:$E,MATCH($B6,'01_UngVien_PhongVan'!$B:$B,0))),""))</f>
        <v>0763823028</v>
      </c>
      <c r="N6" s="60" t="str">
        <f t="array" ref="N6">IF($B6="","",IFERROR(IF(INDEX('01_UngVien_PhongVan'!$M:$M,MATCH($B6,'01_UngVien_PhongVan'!$B:$B,0))=0,"",INDEX('01_UngVien_PhongVan'!$M:$M,MATCH($B6,'01_UngVien_PhongVan'!$B:$B,0))),""))</f>
        <v>B15/304 Tổ 15, Ấp 2, Xã Tân Nhựt, Huyện Bình Chánh, TP.HCM</v>
      </c>
      <c r="O6" s="60">
        <f t="array" ref="O6">IF($B6="","",IFERROR(IF(INDEX('01_UngVien_PhongVan'!$N:$N,MATCH($B6,'01_UngVien_PhongVan'!$B:$B,0))=0,"",INDEX('01_UngVien_PhongVan'!$N:$N,MATCH($B6,'01_UngVien_PhongVan'!$B:$B,0))),""))</f>
      </c>
      <c r="P6" s="60">
        <f t="array" ref="P6">IF($B6="","",IFERROR(IF(INDEX('01_UngVien_PhongVan'!$O:$O,MATCH($B6,'01_UngVien_PhongVan'!$B:$B,0))=0,"",INDEX('01_UngVien_PhongVan'!$O:$O,MATCH($B6,'01_UngVien_PhongVan'!$B:$B,0))),""))</f>
      </c>
      <c r="Q6" s="60">
        <f t="array" ref="Q6">IF($B6="","",IFERROR(IF(INDEX('01_UngVien_PhongVan'!$P:$P,MATCH($B6,'01_UngVien_PhongVan'!$B:$B,0))=0,"",INDEX('01_UngVien_PhongVan'!$P:$P,MATCH($B6,'01_UngVien_PhongVan'!$B:$B,0))),""))</f>
      </c>
      <c r="R6" s="60">
        <f t="array" ref="R6">IF($B6="","",IFERROR(IF(INDEX('01_UngVien_PhongVan'!$Q:$Q,MATCH($B6,'01_UngVien_PhongVan'!$B:$B,0))=0,"",INDEX('01_UngVien_PhongVan'!$Q:$Q,MATCH($B6,'01_UngVien_PhongVan'!$B:$B,0))),""))</f>
      </c>
      <c r="S6" s="60">
        <f t="array" ref="S6">IF($B6="","",IFERROR(IF(INDEX('01_UngVien_PhongVan'!$R:$R,MATCH($B6,'01_UngVien_PhongVan'!$B:$B,0))=0,"",INDEX('01_UngVien_PhongVan'!$R:$R,MATCH($B6,'01_UngVien_PhongVan'!$B:$B,0))),""))</f>
      </c>
      <c r="T6" s="60">
        <f t="array" ref="T6">IF($B6="","",IFERROR(IF(INDEX('01_UngVien_PhongVan'!$U:$U,MATCH($B6,'01_UngVien_PhongVan'!$B:$B,0))=0,"",INDEX('01_UngVien_PhongVan'!$U:$U,MATCH($B6,'01_UngVien_PhongVan'!$B:$B,0))),""))</f>
      </c>
      <c r="U6" s="73">
        <f t="array" ref="U6">IF($B6="","",IFERROR(IF(INDEX('01_UngVien_PhongVan'!$C:$C,MATCH($B6,'01_UngVien_PhongVan'!$B:$B,0))=0,"",INDEX('01_UngVien_PhongVan'!$C:$C,MATCH($B6,'01_UngVien_PhongVan'!$B:$B,0))),""))</f>
        <v>46211</v>
      </c>
      <c r="V6" s="73">
        <f t="array" ref="V6">IF($B6="","",IFERROR(IF(INDEX('02_DS_Nhan_Viec'!$D:$D,MATCH($B6,'02_DS_Nhan_Viec'!$B:$B,0))=0,"",INDEX('02_DS_Nhan_Viec'!$D:$D,MATCH($B6,'02_DS_Nhan_Viec'!$B:$B,0))),""))</f>
        <v>46211</v>
      </c>
      <c r="W6" s="73">
        <f t="array" ref="W6">IF($B6="","",IFERROR(IF(INDEX('02_DS_Nhan_Viec'!$E:$E,MATCH($B6,'02_DS_Nhan_Viec'!$B:$B,0))=0,"",INDEX('02_DS_Nhan_Viec'!$E:$E,MATCH($B6,'02_DS_Nhan_Viec'!$B:$B,0))),""))</f>
        <v>46211</v>
      </c>
      <c r="X6" s="73">
        <f t="array" ref="X6">IF($C6="","",IFERROR(IF(INDEX('05_Theo_Doi_Gio_Cong_7_Ngay'!$P:$P,MATCH($C6,'05_Theo_Doi_Gio_Cong_7_Ngay'!$B:$B,0))=0,"",INDEX('05_Theo_Doi_Gio_Cong_7_Ngay'!$P:$P,MATCH($C6,'05_Theo_Doi_Gio_Cong_7_Ngay'!$B:$B,0))),""))</f>
        <v>46218</v>
      </c>
      <c r="Y6" s="60" t="str">
        <f t="array" ref="Y6">IF($C6="","",IFERROR(IF(INDEX('05_Theo_Doi_Gio_Cong_7_Ngay'!$M:$M,MATCH($C6,'05_Theo_Doi_Gio_Cong_7_Ngay'!$B:$B,0))=0,"",INDEX('05_Theo_Doi_Gio_Cong_7_Ngay'!$M:$M,MATCH($C6,'05_Theo_Doi_Gio_Cong_7_Ngay'!$B:$B,0))),""))</f>
        <v>✅ ĐỦ 7 NGÀY - Đạt chuẩn</v>
      </c>
      <c r="Z6" s="60" t="str">
        <f t="array" ref="Z6">IF($C6="","",IFERROR(IF(INDEX('05_Theo_Doi_Gio_Cong_7_Ngay'!$Q:$Q,MATCH($C6,'05_Theo_Doi_Gio_Cong_7_Ngay'!$B:$B,0))=0,"",INDEX('05_Theo_Doi_Gio_Cong_7_Ngay'!$Q:$Q,MATCH($C6,'05_Theo_Doi_Gio_Cong_7_Ngay'!$B:$B,0))),""))</f>
        <v>✅ Đủ điều kiện - Đưa đi lấy dấu vân tay</v>
      </c>
      <c r="AA6" s="60">
        <f t="array" ref="AA6">IF($B6="","",IFERROR(IF(INDEX('02_DS_Nhan_Viec'!$H:$H,MATCH($B6,'02_DS_Nhan_Viec'!$B:$B,0))=0,"",INDEX('02_DS_Nhan_Viec'!$H:$H,MATCH($B6,'02_DS_Nhan_Viec'!$B:$B,0))),""))</f>
      </c>
      <c r="AB6" s="60">
        <f t="array" ref="AB6">IF($B6="","",IFERROR(IF(INDEX('02_DS_Nhan_Viec'!$I:$I,MATCH($B6,'02_DS_Nhan_Viec'!$B:$B,0))=0,"",INDEX('02_DS_Nhan_Viec'!$I:$I,MATCH($B6,'02_DS_Nhan_Viec'!$B:$B,0))),""))</f>
      </c>
      <c r="AC6" s="61" t="str">
        <f t="array" ref="AC6">IF($B6="","",IF($C6="","Đang theo dõi",IF(OR(ISNUMBER(SEARCH("Không đủ điều kiện",IFERROR(INDEX('05_Theo_Doi_Gio_Cong_7_Ngay'!$Q:$Q,MATCH($C6,'05_Theo_Doi_Gio_Cong_7_Ngay'!$B:$B,0)),""))),ISNUMBER(SEARCH("Đủ 7 ngày nhưng",IFERROR(INDEX('05_Theo_Doi_Gio_Cong_7_Ngay'!$Q:$Q,MATCH($C6,'05_Theo_Doi_Gio_Cong_7_Ngay'!$B:$B,0)),"")))),"Đã nghỉ",IF(AND(OR(ISNUMBER(SEARCH("Đủ điều kiện",IFERROR(INDEX('05_Theo_Doi_Gio_Cong_7_Ngay'!$Q:$Q,MATCH($C6,'05_Theo_Doi_Gio_Cong_7_Ngay'!$B:$B,0)),""))),ISNUMBER(SEARCH("Đã có số thẻ",IFERROR(INDEX('05_Theo_Doi_Gio_Cong_7_Ngay'!$Q:$Q,MATCH($C6,'05_Theo_Doi_Gio_Cong_7_Ngay'!$B:$B,0)),"")))),IFERROR(INDEX('05_Theo_Doi_Gio_Cong_7_Ngay'!$R:$R,MATCH($C6,'05_Theo_Doi_Gio_Cong_7_Ngay'!$B:$B,0)),"")&lt;&gt;""),IFERROR(INDEX('06_DS_Chinh_Thuc'!$K:$K,MATCH(IFERROR(INDEX('05_Theo_Doi_Gio_Cong_7_Ngay'!$R:$R,MATCH($C6,'05_Theo_Doi_Gio_Cong_7_Ngay'!$B:$B,0)),""),'06_DS_Chinh_Thuc'!$B:$B,0)),"Đang theo dõi"),"Đang theo dõi"))))</f>
        <v>Đang làm</v>
      </c>
    </row>
    <row r="7" ht="40.5" customHeight="1" spans="1:29" x14ac:dyDescent="0.25">
      <c r="A7" s="52">
        <f t="shared" si="0"/>
        <v>6</v>
      </c>
      <c r="B7" s="52" t="str">
        <f t="array" ref="B7">IFERROR(INDEX('02_DS_Nhan_Viec'!$B:$B,MATCH(6,'02_DS_Nhan_Viec'!$M:$M,0)),"")</f>
        <v>UV0726-009</v>
      </c>
      <c r="C7" s="52" t="str">
        <f t="array" ref="C7">IF($B7="","",IFERROR(IF(INDEX('02_DS_Nhan_Viec'!$J:$J,MATCH($B7,'02_DS_Nhan_Viec'!$B:$B,0))=0,"",INDEX('02_DS_Nhan_Viec'!$J:$J,MATCH($B7,'02_DS_Nhan_Viec'!$B:$B,0))),""))</f>
        <v>NV006</v>
      </c>
      <c r="D7" s="52">
        <f t="array" ref="D7">IF($C7="","",IFERROR(IF(INDEX('05_Theo_Doi_Gio_Cong_7_Ngay'!$R:$R,MATCH($C7,'05_Theo_Doi_Gio_Cong_7_Ngay'!$B:$B,0))=0,"",INDEX('05_Theo_Doi_Gio_Cong_7_Ngay'!$R:$R,MATCH($C7,'05_Theo_Doi_Gio_Cong_7_Ngay'!$B:$B,0))),""))</f>
        <v>315</v>
      </c>
      <c r="E7" s="60" t="str">
        <f t="array" ref="E7">IF($B7="","",IFERROR(IF(INDEX('01_UngVien_PhongVan'!$D:$D,MATCH($B7,'01_UngVien_PhongVan'!$B:$B,0))=0,"",INDEX('01_UngVien_PhongVan'!$D:$D,MATCH($B7,'01_UngVien_PhongVan'!$B:$B,0))),""))</f>
        <v>Bùi Thị Phương Anh</v>
      </c>
      <c r="F7" s="52" t="str">
        <f t="array" ref="F7">IF($B7="","",IFERROR(IF(INDEX('01_UngVien_PhongVan'!$F:$F,MATCH($B7,'01_UngVien_PhongVan'!$B:$B,0))=0,"",INDEX('01_UngVien_PhongVan'!$F:$F,MATCH($B7,'01_UngVien_PhongVan'!$B:$B,0))),""))</f>
        <v>Nữ</v>
      </c>
      <c r="G7" s="72">
        <f t="array" ref="G7">IF($B7="","",IFERROR(IF(INDEX('01_UngVien_PhongVan'!$G:$G,MATCH($B7,'01_UngVien_PhongVan'!$B:$B,0))=0,"",INDEX('01_UngVien_PhongVan'!$G:$G,MATCH($B7,'01_UngVien_PhongVan'!$B:$B,0))),""))</f>
        <v>2006</v>
      </c>
      <c r="H7" s="52">
        <f t="array" ref="H7">IF($B7="","",IFERROR(IF(INDEX('01_UngVien_PhongVan'!$H:$H,MATCH($B7,'01_UngVien_PhongVan'!$B:$B,0))=0,"",INDEX('01_UngVien_PhongVan'!$H:$H,MATCH($B7,'01_UngVien_PhongVan'!$B:$B,0))),""))</f>
      </c>
      <c r="I7" s="60">
        <f t="array" ref="I7">IF($B7="","",IFERROR(IF(INDEX('01_UngVien_PhongVan'!$I:$I,MATCH($B7,'01_UngVien_PhongVan'!$B:$B,0))=0,"",INDEX('01_UngVien_PhongVan'!$I:$I,MATCH($B7,'01_UngVien_PhongVan'!$B:$B,0))),""))</f>
      </c>
      <c r="J7" s="60">
        <f t="array" ref="J7">IF($B7="","",IFERROR(IF(INDEX('01_UngVien_PhongVan'!$J:$J,MATCH($B7,'01_UngVien_PhongVan'!$B:$B,0))=0,"",INDEX('01_UngVien_PhongVan'!$J:$J,MATCH($B7,'01_UngVien_PhongVan'!$B:$B,0))),""))</f>
      </c>
      <c r="K7" s="73">
        <f t="array" ref="K7">IF($B7="","",IFERROR(IF(INDEX('01_UngVien_PhongVan'!$K:$K,MATCH($B7,'01_UngVien_PhongVan'!$B:$B,0))=0,"",INDEX('01_UngVien_PhongVan'!$K:$K,MATCH($B7,'01_UngVien_PhongVan'!$B:$B,0))),""))</f>
      </c>
      <c r="L7" s="60">
        <f t="array" ref="L7">IF($B7="","",IFERROR(IF(INDEX('01_UngVien_PhongVan'!$L:$L,MATCH($B7,'01_UngVien_PhongVan'!$B:$B,0))=0,"",INDEX('01_UngVien_PhongVan'!$L:$L,MATCH($B7,'01_UngVien_PhongVan'!$B:$B,0))),""))</f>
      </c>
      <c r="M7" s="60" t="str">
        <f t="array" ref="M7">IF($B7="","",IFERROR(IF(INDEX('01_UngVien_PhongVan'!$E:$E,MATCH($B7,'01_UngVien_PhongVan'!$B:$B,0))=0,"",INDEX('01_UngVien_PhongVan'!$E:$E,MATCH($B7,'01_UngVien_PhongVan'!$B:$B,0))),""))</f>
        <v>0337547095</v>
      </c>
      <c r="N7" s="60" t="str">
        <f t="array" ref="N7">IF($B7="","",IFERROR(IF(INDEX('01_UngVien_PhongVan'!$M:$M,MATCH($B7,'01_UngVien_PhongVan'!$B:$B,0))=0,"",INDEX('01_UngVien_PhongVan'!$M:$M,MATCH($B7,'01_UngVien_PhongVan'!$B:$B,0))),""))</f>
        <v>E4/79A, ấp 10, xã Tân Nhựt, TP.HCM</v>
      </c>
      <c r="O7" s="60">
        <f t="array" ref="O7">IF($B7="","",IFERROR(IF(INDEX('01_UngVien_PhongVan'!$N:$N,MATCH($B7,'01_UngVien_PhongVan'!$B:$B,0))=0,"",INDEX('01_UngVien_PhongVan'!$N:$N,MATCH($B7,'01_UngVien_PhongVan'!$B:$B,0))),""))</f>
      </c>
      <c r="P7" s="60">
        <f t="array" ref="P7">IF($B7="","",IFERROR(IF(INDEX('01_UngVien_PhongVan'!$O:$O,MATCH($B7,'01_UngVien_PhongVan'!$B:$B,0))=0,"",INDEX('01_UngVien_PhongVan'!$O:$O,MATCH($B7,'01_UngVien_PhongVan'!$B:$B,0))),""))</f>
      </c>
      <c r="Q7" s="60">
        <f t="array" ref="Q7">IF($B7="","",IFERROR(IF(INDEX('01_UngVien_PhongVan'!$P:$P,MATCH($B7,'01_UngVien_PhongVan'!$B:$B,0))=0,"",INDEX('01_UngVien_PhongVan'!$P:$P,MATCH($B7,'01_UngVien_PhongVan'!$B:$B,0))),""))</f>
      </c>
      <c r="R7" s="60">
        <f t="array" ref="R7">IF($B7="","",IFERROR(IF(INDEX('01_UngVien_PhongVan'!$Q:$Q,MATCH($B7,'01_UngVien_PhongVan'!$B:$B,0))=0,"",INDEX('01_UngVien_PhongVan'!$Q:$Q,MATCH($B7,'01_UngVien_PhongVan'!$B:$B,0))),""))</f>
      </c>
      <c r="S7" s="60">
        <f t="array" ref="S7">IF($B7="","",IFERROR(IF(INDEX('01_UngVien_PhongVan'!$R:$R,MATCH($B7,'01_UngVien_PhongVan'!$B:$B,0))=0,"",INDEX('01_UngVien_PhongVan'!$R:$R,MATCH($B7,'01_UngVien_PhongVan'!$B:$B,0))),""))</f>
      </c>
      <c r="T7" s="60">
        <f t="array" ref="T7">IF($B7="","",IFERROR(IF(INDEX('01_UngVien_PhongVan'!$U:$U,MATCH($B7,'01_UngVien_PhongVan'!$B:$B,0))=0,"",INDEX('01_UngVien_PhongVan'!$U:$U,MATCH($B7,'01_UngVien_PhongVan'!$B:$B,0))),""))</f>
      </c>
      <c r="U7" s="73">
        <f t="array" ref="U7">IF($B7="","",IFERROR(IF(INDEX('01_UngVien_PhongVan'!$C:$C,MATCH($B7,'01_UngVien_PhongVan'!$B:$B,0))=0,"",INDEX('01_UngVien_PhongVan'!$C:$C,MATCH($B7,'01_UngVien_PhongVan'!$B:$B,0))),""))</f>
        <v>46205</v>
      </c>
      <c r="V7" s="73">
        <f t="array" ref="V7">IF($B7="","",IFERROR(IF(INDEX('02_DS_Nhan_Viec'!$D:$D,MATCH($B7,'02_DS_Nhan_Viec'!$B:$B,0))=0,"",INDEX('02_DS_Nhan_Viec'!$D:$D,MATCH($B7,'02_DS_Nhan_Viec'!$B:$B,0))),""))</f>
        <v>46206</v>
      </c>
      <c r="W7" s="73">
        <f t="array" ref="W7">IF($B7="","",IFERROR(IF(INDEX('02_DS_Nhan_Viec'!$E:$E,MATCH($B7,'02_DS_Nhan_Viec'!$B:$B,0))=0,"",INDEX('02_DS_Nhan_Viec'!$E:$E,MATCH($B7,'02_DS_Nhan_Viec'!$B:$B,0))),""))</f>
        <v>46206</v>
      </c>
      <c r="X7" s="73">
        <f t="array" ref="X7">IF($C7="","",IFERROR(IF(INDEX('05_Theo_Doi_Gio_Cong_7_Ngay'!$P:$P,MATCH($C7,'05_Theo_Doi_Gio_Cong_7_Ngay'!$B:$B,0))=0,"",INDEX('05_Theo_Doi_Gio_Cong_7_Ngay'!$P:$P,MATCH($C7,'05_Theo_Doi_Gio_Cong_7_Ngay'!$B:$B,0))),""))</f>
        <v>46213</v>
      </c>
      <c r="Y7" s="60" t="str">
        <f t="array" ref="Y7">IF($C7="","",IFERROR(IF(INDEX('05_Theo_Doi_Gio_Cong_7_Ngay'!$M:$M,MATCH($C7,'05_Theo_Doi_Gio_Cong_7_Ngay'!$B:$B,0))=0,"",INDEX('05_Theo_Doi_Gio_Cong_7_Ngay'!$M:$M,MATCH($C7,'05_Theo_Doi_Gio_Cong_7_Ngay'!$B:$B,0))),""))</f>
        <v>✅ ĐỦ 7 NGÀY - Đạt chuẩn</v>
      </c>
      <c r="Z7" s="60" t="str">
        <f t="array" ref="Z7">IF($C7="","",IFERROR(IF(INDEX('05_Theo_Doi_Gio_Cong_7_Ngay'!$Q:$Q,MATCH($C7,'05_Theo_Doi_Gio_Cong_7_Ngay'!$B:$B,0))=0,"",INDEX('05_Theo_Doi_Gio_Cong_7_Ngay'!$Q:$Q,MATCH($C7,'05_Theo_Doi_Gio_Cong_7_Ngay'!$B:$B,0))),""))</f>
        <v>🔵 Đã có số thẻ (NV cũ)</v>
      </c>
      <c r="AA7" s="60">
        <f t="array" ref="AA7">IF($B7="","",IFERROR(IF(INDEX('02_DS_Nhan_Viec'!$H:$H,MATCH($B7,'02_DS_Nhan_Viec'!$B:$B,0))=0,"",INDEX('02_DS_Nhan_Viec'!$H:$H,MATCH($B7,'02_DS_Nhan_Viec'!$B:$B,0))),""))</f>
      </c>
      <c r="AB7" s="60">
        <f t="array" ref="AB7">IF($B7="","",IFERROR(IF(INDEX('02_DS_Nhan_Viec'!$I:$I,MATCH($B7,'02_DS_Nhan_Viec'!$B:$B,0))=0,"",INDEX('02_DS_Nhan_Viec'!$I:$I,MATCH($B7,'02_DS_Nhan_Viec'!$B:$B,0))),""))</f>
      </c>
      <c r="AC7" s="61" t="str">
        <f t="array" ref="AC7">IF($B7="","",IF($C7="","Đang theo dõi",IF(OR(ISNUMBER(SEARCH("Không đủ điều kiện",IFERROR(INDEX('05_Theo_Doi_Gio_Cong_7_Ngay'!$Q:$Q,MATCH($C7,'05_Theo_Doi_Gio_Cong_7_Ngay'!$B:$B,0)),""))),ISNUMBER(SEARCH("Đủ 7 ngày nhưng",IFERROR(INDEX('05_Theo_Doi_Gio_Cong_7_Ngay'!$Q:$Q,MATCH($C7,'05_Theo_Doi_Gio_Cong_7_Ngay'!$B:$B,0)),"")))),"Đã nghỉ",IF(AND(OR(ISNUMBER(SEARCH("Đủ điều kiện",IFERROR(INDEX('05_Theo_Doi_Gio_Cong_7_Ngay'!$Q:$Q,MATCH($C7,'05_Theo_Doi_Gio_Cong_7_Ngay'!$B:$B,0)),""))),ISNUMBER(SEARCH("Đã có số thẻ",IFERROR(INDEX('05_Theo_Doi_Gio_Cong_7_Ngay'!$Q:$Q,MATCH($C7,'05_Theo_Doi_Gio_Cong_7_Ngay'!$B:$B,0)),"")))),IFERROR(INDEX('05_Theo_Doi_Gio_Cong_7_Ngay'!$R:$R,MATCH($C7,'05_Theo_Doi_Gio_Cong_7_Ngay'!$B:$B,0)),"")&lt;&gt;""),IFERROR(INDEX('06_DS_Chinh_Thuc'!$K:$K,MATCH(IFERROR(INDEX('05_Theo_Doi_Gio_Cong_7_Ngay'!$R:$R,MATCH($C7,'05_Theo_Doi_Gio_Cong_7_Ngay'!$B:$B,0)),""),'06_DS_Chinh_Thuc'!$B:$B,0)),"Đang theo dõi"),"Đang theo dõi"))))</f>
        <v>Đã nghỉ</v>
      </c>
    </row>
    <row r="8" ht="27" customHeight="1" spans="1:29" x14ac:dyDescent="0.25">
      <c r="A8" s="52">
        <f t="shared" si="0"/>
        <v>7</v>
      </c>
      <c r="B8" s="52" t="str">
        <f t="array" ref="B8">IFERROR(INDEX('02_DS_Nhan_Viec'!$B:$B,MATCH(7,'02_DS_Nhan_Viec'!$M:$M,0)),"")</f>
        <v>UV0726-010</v>
      </c>
      <c r="C8" s="52" t="str">
        <f t="array" ref="C8">IF($B8="","",IFERROR(IF(INDEX('02_DS_Nhan_Viec'!$J:$J,MATCH($B8,'02_DS_Nhan_Viec'!$B:$B,0))=0,"",INDEX('02_DS_Nhan_Viec'!$J:$J,MATCH($B8,'02_DS_Nhan_Viec'!$B:$B,0))),""))</f>
        <v>NV007</v>
      </c>
      <c r="D8" s="52">
        <f t="array" ref="D8">IF($C8="","",IFERROR(IF(INDEX('05_Theo_Doi_Gio_Cong_7_Ngay'!$R:$R,MATCH($C8,'05_Theo_Doi_Gio_Cong_7_Ngay'!$B:$B,0))=0,"",INDEX('05_Theo_Doi_Gio_Cong_7_Ngay'!$R:$R,MATCH($C8,'05_Theo_Doi_Gio_Cong_7_Ngay'!$B:$B,0))),""))</f>
        <v>267</v>
      </c>
      <c r="E8" s="60" t="str">
        <f t="array" ref="E8">IF($B8="","",IFERROR(IF(INDEX('01_UngVien_PhongVan'!$D:$D,MATCH($B8,'01_UngVien_PhongVan'!$B:$B,0))=0,"",INDEX('01_UngVien_PhongVan'!$D:$D,MATCH($B8,'01_UngVien_PhongVan'!$B:$B,0))),""))</f>
        <v>Lương Thị Thắm</v>
      </c>
      <c r="F8" s="52" t="str">
        <f t="array" ref="F8">IF($B8="","",IFERROR(IF(INDEX('01_UngVien_PhongVan'!$F:$F,MATCH($B8,'01_UngVien_PhongVan'!$B:$B,0))=0,"",INDEX('01_UngVien_PhongVan'!$F:$F,MATCH($B8,'01_UngVien_PhongVan'!$B:$B,0))),""))</f>
        <v>Nữ</v>
      </c>
      <c r="G8" s="72">
        <f t="array" ref="G8">IF($B8="","",IFERROR(IF(INDEX('01_UngVien_PhongVan'!$G:$G,MATCH($B8,'01_UngVien_PhongVan'!$B:$B,0))=0,"",INDEX('01_UngVien_PhongVan'!$G:$G,MATCH($B8,'01_UngVien_PhongVan'!$B:$B,0))),""))</f>
        <v>1975</v>
      </c>
      <c r="H8" s="52">
        <f t="array" ref="H8">IF($B8="","",IFERROR(IF(INDEX('01_UngVien_PhongVan'!$H:$H,MATCH($B8,'01_UngVien_PhongVan'!$B:$B,0))=0,"",INDEX('01_UngVien_PhongVan'!$H:$H,MATCH($B8,'01_UngVien_PhongVan'!$B:$B,0))),""))</f>
      </c>
      <c r="I8" s="60">
        <f t="array" ref="I8">IF($B8="","",IFERROR(IF(INDEX('01_UngVien_PhongVan'!$I:$I,MATCH($B8,'01_UngVien_PhongVan'!$B:$B,0))=0,"",INDEX('01_UngVien_PhongVan'!$I:$I,MATCH($B8,'01_UngVien_PhongVan'!$B:$B,0))),""))</f>
      </c>
      <c r="J8" s="60">
        <f t="array" ref="J8">IF($B8="","",IFERROR(IF(INDEX('01_UngVien_PhongVan'!$J:$J,MATCH($B8,'01_UngVien_PhongVan'!$B:$B,0))=0,"",INDEX('01_UngVien_PhongVan'!$J:$J,MATCH($B8,'01_UngVien_PhongVan'!$B:$B,0))),""))</f>
      </c>
      <c r="K8" s="73">
        <f t="array" ref="K8">IF($B8="","",IFERROR(IF(INDEX('01_UngVien_PhongVan'!$K:$K,MATCH($B8,'01_UngVien_PhongVan'!$B:$B,0))=0,"",INDEX('01_UngVien_PhongVan'!$K:$K,MATCH($B8,'01_UngVien_PhongVan'!$B:$B,0))),""))</f>
      </c>
      <c r="L8" s="60">
        <f t="array" ref="L8">IF($B8="","",IFERROR(IF(INDEX('01_UngVien_PhongVan'!$L:$L,MATCH($B8,'01_UngVien_PhongVan'!$B:$B,0))=0,"",INDEX('01_UngVien_PhongVan'!$L:$L,MATCH($B8,'01_UngVien_PhongVan'!$B:$B,0))),""))</f>
      </c>
      <c r="M8" s="60" t="str">
        <f t="array" ref="M8">IF($B8="","",IFERROR(IF(INDEX('01_UngVien_PhongVan'!$E:$E,MATCH($B8,'01_UngVien_PhongVan'!$B:$B,0))=0,"",INDEX('01_UngVien_PhongVan'!$E:$E,MATCH($B8,'01_UngVien_PhongVan'!$B:$B,0))),""))</f>
        <v>0974055125</v>
      </c>
      <c r="N8" s="60" t="str">
        <f t="array" ref="N8">IF($B8="","",IFERROR(IF(INDEX('01_UngVien_PhongVan'!$M:$M,MATCH($B8,'01_UngVien_PhongVan'!$B:$B,0))=0,"",INDEX('01_UngVien_PhongVan'!$M:$M,MATCH($B8,'01_UngVien_PhongVan'!$B:$B,0))),""))</f>
        <v>A9/15L6 Bông Văn Dĩa, ấp 1, Tân Kiên, Bình Chánh</v>
      </c>
      <c r="O8" s="60">
        <f t="array" ref="O8">IF($B8="","",IFERROR(IF(INDEX('01_UngVien_PhongVan'!$N:$N,MATCH($B8,'01_UngVien_PhongVan'!$B:$B,0))=0,"",INDEX('01_UngVien_PhongVan'!$N:$N,MATCH($B8,'01_UngVien_PhongVan'!$B:$B,0))),""))</f>
      </c>
      <c r="P8" s="60">
        <f t="array" ref="P8">IF($B8="","",IFERROR(IF(INDEX('01_UngVien_PhongVan'!$O:$O,MATCH($B8,'01_UngVien_PhongVan'!$B:$B,0))=0,"",INDEX('01_UngVien_PhongVan'!$O:$O,MATCH($B8,'01_UngVien_PhongVan'!$B:$B,0))),""))</f>
      </c>
      <c r="Q8" s="60">
        <f t="array" ref="Q8">IF($B8="","",IFERROR(IF(INDEX('01_UngVien_PhongVan'!$P:$P,MATCH($B8,'01_UngVien_PhongVan'!$B:$B,0))=0,"",INDEX('01_UngVien_PhongVan'!$P:$P,MATCH($B8,'01_UngVien_PhongVan'!$B:$B,0))),""))</f>
      </c>
      <c r="R8" s="60">
        <f t="array" ref="R8">IF($B8="","",IFERROR(IF(INDEX('01_UngVien_PhongVan'!$Q:$Q,MATCH($B8,'01_UngVien_PhongVan'!$B:$B,0))=0,"",INDEX('01_UngVien_PhongVan'!$Q:$Q,MATCH($B8,'01_UngVien_PhongVan'!$B:$B,0))),""))</f>
      </c>
      <c r="S8" s="60" t="str">
        <f t="array" ref="S8">IF($B8="","",IFERROR(IF(INDEX('01_UngVien_PhongVan'!$R:$R,MATCH($B8,'01_UngVien_PhongVan'!$B:$B,0))=0,"",INDEX('01_UngVien_PhongVan'!$R:$R,MATCH($B8,'01_UngVien_PhongVan'!$B:$B,0))),""))</f>
        <v>Thợ may</v>
      </c>
      <c r="T8" s="60">
        <f t="array" ref="T8">IF($B8="","",IFERROR(IF(INDEX('01_UngVien_PhongVan'!$U:$U,MATCH($B8,'01_UngVien_PhongVan'!$B:$B,0))=0,"",INDEX('01_UngVien_PhongVan'!$U:$U,MATCH($B8,'01_UngVien_PhongVan'!$B:$B,0))),""))</f>
      </c>
      <c r="U8" s="73">
        <f t="array" ref="U8">IF($B8="","",IFERROR(IF(INDEX('01_UngVien_PhongVan'!$C:$C,MATCH($B8,'01_UngVien_PhongVan'!$B:$B,0))=0,"",INDEX('01_UngVien_PhongVan'!$C:$C,MATCH($B8,'01_UngVien_PhongVan'!$B:$B,0))),""))</f>
        <v>46204</v>
      </c>
      <c r="V8" s="73">
        <f t="array" ref="V8">IF($B8="","",IFERROR(IF(INDEX('02_DS_Nhan_Viec'!$D:$D,MATCH($B8,'02_DS_Nhan_Viec'!$B:$B,0))=0,"",INDEX('02_DS_Nhan_Viec'!$D:$D,MATCH($B8,'02_DS_Nhan_Viec'!$B:$B,0))),""))</f>
        <v>46205</v>
      </c>
      <c r="W8" s="73">
        <f t="array" ref="W8">IF($B8="","",IFERROR(IF(INDEX('02_DS_Nhan_Viec'!$E:$E,MATCH($B8,'02_DS_Nhan_Viec'!$B:$B,0))=0,"",INDEX('02_DS_Nhan_Viec'!$E:$E,MATCH($B8,'02_DS_Nhan_Viec'!$B:$B,0))),""))</f>
        <v>46205</v>
      </c>
      <c r="X8" s="73">
        <f t="array" ref="X8">IF($C8="","",IFERROR(IF(INDEX('05_Theo_Doi_Gio_Cong_7_Ngay'!$P:$P,MATCH($C8,'05_Theo_Doi_Gio_Cong_7_Ngay'!$B:$B,0))=0,"",INDEX('05_Theo_Doi_Gio_Cong_7_Ngay'!$P:$P,MATCH($C8,'05_Theo_Doi_Gio_Cong_7_Ngay'!$B:$B,0))),""))</f>
        <v>46212</v>
      </c>
      <c r="Y8" s="60" t="str">
        <f t="array" ref="Y8">IF($C8="","",IFERROR(IF(INDEX('05_Theo_Doi_Gio_Cong_7_Ngay'!$M:$M,MATCH($C8,'05_Theo_Doi_Gio_Cong_7_Ngay'!$B:$B,0))=0,"",INDEX('05_Theo_Doi_Gio_Cong_7_Ngay'!$M:$M,MATCH($C8,'05_Theo_Doi_Gio_Cong_7_Ngay'!$B:$B,0))),""))</f>
        <v>❌ Không đạt chuẩn (quá hạn 58 ngày)</v>
      </c>
      <c r="Z8" s="60" t="str">
        <f t="array" ref="Z8">IF($C8="","",IFERROR(IF(INDEX('05_Theo_Doi_Gio_Cong_7_Ngay'!$Q:$Q,MATCH($C8,'05_Theo_Doi_Gio_Cong_7_Ngay'!$B:$B,0))=0,"",INDEX('05_Theo_Doi_Gio_Cong_7_Ngay'!$Q:$Q,MATCH($C8,'05_Theo_Doi_Gio_Cong_7_Ngay'!$B:$B,0))),""))</f>
        <v>🔵 Đã có số thẻ (NV cũ)</v>
      </c>
      <c r="AA8" s="60">
        <f t="array" ref="AA8">IF($B8="","",IFERROR(IF(INDEX('02_DS_Nhan_Viec'!$H:$H,MATCH($B8,'02_DS_Nhan_Viec'!$B:$B,0))=0,"",INDEX('02_DS_Nhan_Viec'!$H:$H,MATCH($B8,'02_DS_Nhan_Viec'!$B:$B,0))),""))</f>
      </c>
      <c r="AB8" s="60">
        <f t="array" ref="AB8">IF($B8="","",IFERROR(IF(INDEX('02_DS_Nhan_Viec'!$I:$I,MATCH($B8,'02_DS_Nhan_Viec'!$B:$B,0))=0,"",INDEX('02_DS_Nhan_Viec'!$I:$I,MATCH($B8,'02_DS_Nhan_Viec'!$B:$B,0))),""))</f>
      </c>
      <c r="AC8" s="61" t="str">
        <f t="array" ref="AC8">IF($B8="","",IF($C8="","Đang theo dõi",IF(OR(ISNUMBER(SEARCH("Không đủ điều kiện",IFERROR(INDEX('05_Theo_Doi_Gio_Cong_7_Ngay'!$Q:$Q,MATCH($C8,'05_Theo_Doi_Gio_Cong_7_Ngay'!$B:$B,0)),""))),ISNUMBER(SEARCH("Đủ 7 ngày nhưng",IFERROR(INDEX('05_Theo_Doi_Gio_Cong_7_Ngay'!$Q:$Q,MATCH($C8,'05_Theo_Doi_Gio_Cong_7_Ngay'!$B:$B,0)),"")))),"Đã nghỉ",IF(AND(OR(ISNUMBER(SEARCH("Đủ điều kiện",IFERROR(INDEX('05_Theo_Doi_Gio_Cong_7_Ngay'!$Q:$Q,MATCH($C8,'05_Theo_Doi_Gio_Cong_7_Ngay'!$B:$B,0)),""))),ISNUMBER(SEARCH("Đã có số thẻ",IFERROR(INDEX('05_Theo_Doi_Gio_Cong_7_Ngay'!$Q:$Q,MATCH($C8,'05_Theo_Doi_Gio_Cong_7_Ngay'!$B:$B,0)),"")))),IFERROR(INDEX('05_Theo_Doi_Gio_Cong_7_Ngay'!$R:$R,MATCH($C8,'05_Theo_Doi_Gio_Cong_7_Ngay'!$B:$B,0)),"")&lt;&gt;""),IFERROR(INDEX('06_DS_Chinh_Thuc'!$K:$K,MATCH(IFERROR(INDEX('05_Theo_Doi_Gio_Cong_7_Ngay'!$R:$R,MATCH($C8,'05_Theo_Doi_Gio_Cong_7_Ngay'!$B:$B,0)),""),'06_DS_Chinh_Thuc'!$B:$B,0)),"Đang theo dõi"),"Đang theo dõi"))))</f>
        <v>Đang theo dõi</v>
      </c>
    </row>
    <row r="9" ht="27" customHeight="1" spans="1:29" x14ac:dyDescent="0.25">
      <c r="A9" s="52">
        <f t="shared" si="0"/>
        <v>8</v>
      </c>
      <c r="B9" s="52" t="str">
        <f t="array" ref="B9">IFERROR(INDEX('02_DS_Nhan_Viec'!$B:$B,MATCH(8,'02_DS_Nhan_Viec'!$M:$M,0)),"")</f>
        <v>UV0826-001</v>
      </c>
      <c r="C9" s="52" t="str">
        <f t="array" ref="C9">IF($B9="","",IFERROR(IF(INDEX('02_DS_Nhan_Viec'!$J:$J,MATCH($B9,'02_DS_Nhan_Viec'!$B:$B,0))=0,"",INDEX('02_DS_Nhan_Viec'!$J:$J,MATCH($B9,'02_DS_Nhan_Viec'!$B:$B,0))),""))</f>
        <v>NV008</v>
      </c>
      <c r="D9" s="52">
        <f t="array" ref="D9">IF($C9="","",IFERROR(IF(INDEX('05_Theo_Doi_Gio_Cong_7_Ngay'!$R:$R,MATCH($C9,'05_Theo_Doi_Gio_Cong_7_Ngay'!$B:$B,0))=0,"",INDEX('05_Theo_Doi_Gio_Cong_7_Ngay'!$R:$R,MATCH($C9,'05_Theo_Doi_Gio_Cong_7_Ngay'!$B:$B,0))),""))</f>
        <v>492</v>
      </c>
      <c r="E9" s="60" t="str">
        <f t="array" ref="E9">IF($B9="","",IFERROR(IF(INDEX('01_UngVien_PhongVan'!$D:$D,MATCH($B9,'01_UngVien_PhongVan'!$B:$B,0))=0,"",INDEX('01_UngVien_PhongVan'!$D:$D,MATCH($B9,'01_UngVien_PhongVan'!$B:$B,0))),""))</f>
        <v>Cao Thị Thu Phương</v>
      </c>
      <c r="F9" s="52" t="str">
        <f t="array" ref="F9">IF($B9="","",IFERROR(IF(INDEX('01_UngVien_PhongVan'!$F:$F,MATCH($B9,'01_UngVien_PhongVan'!$B:$B,0))=0,"",INDEX('01_UngVien_PhongVan'!$F:$F,MATCH($B9,'01_UngVien_PhongVan'!$B:$B,0))),""))</f>
        <v>Nữ</v>
      </c>
      <c r="G9" s="72">
        <f t="array" ref="G9">IF($B9="","",IFERROR(IF(INDEX('01_UngVien_PhongVan'!$G:$G,MATCH($B9,'01_UngVien_PhongVan'!$B:$B,0))=0,"",INDEX('01_UngVien_PhongVan'!$G:$G,MATCH($B9,'01_UngVien_PhongVan'!$B:$B,0))),""))</f>
        <v>1975</v>
      </c>
      <c r="H9" s="52">
        <f t="array" ref="H9">IF($B9="","",IFERROR(IF(INDEX('01_UngVien_PhongVan'!$H:$H,MATCH($B9,'01_UngVien_PhongVan'!$B:$B,0))=0,"",INDEX('01_UngVien_PhongVan'!$H:$H,MATCH($B9,'01_UngVien_PhongVan'!$B:$B,0))),""))</f>
      </c>
      <c r="I9" s="60">
        <f t="array" ref="I9">IF($B9="","",IFERROR(IF(INDEX('01_UngVien_PhongVan'!$I:$I,MATCH($B9,'01_UngVien_PhongVan'!$B:$B,0))=0,"",INDEX('01_UngVien_PhongVan'!$I:$I,MATCH($B9,'01_UngVien_PhongVan'!$B:$B,0))),""))</f>
      </c>
      <c r="J9" s="60" t="str">
        <f t="array" ref="J9">IF($B9="","",IFERROR(IF(INDEX('01_UngVien_PhongVan'!$J:$J,MATCH($B9,'01_UngVien_PhongVan'!$B:$B,0))=0,"",INDEX('01_UngVien_PhongVan'!$J:$J,MATCH($B9,'01_UngVien_PhongVan'!$B:$B,0))),""))</f>
        <v>092175012898</v>
      </c>
      <c r="K9" s="73">
        <f t="array" ref="K9">IF($B9="","",IFERROR(IF(INDEX('01_UngVien_PhongVan'!$K:$K,MATCH($B9,'01_UngVien_PhongVan'!$B:$B,0))=0,"",INDEX('01_UngVien_PhongVan'!$K:$K,MATCH($B9,'01_UngVien_PhongVan'!$B:$B,0))),""))</f>
        <v>45663</v>
      </c>
      <c r="L9" s="60" t="str">
        <f t="array" ref="L9">IF($B9="","",IFERROR(IF(INDEX('01_UngVien_PhongVan'!$L:$L,MATCH($B9,'01_UngVien_PhongVan'!$B:$B,0))=0,"",INDEX('01_UngVien_PhongVan'!$L:$L,MATCH($B9,'01_UngVien_PhongVan'!$B:$B,0))),""))</f>
        <v>Bộ Công An</v>
      </c>
      <c r="M9" s="60" t="str">
        <f t="array" ref="M9">IF($B9="","",IFERROR(IF(INDEX('01_UngVien_PhongVan'!$E:$E,MATCH($B9,'01_UngVien_PhongVan'!$B:$B,0))=0,"",INDEX('01_UngVien_PhongVan'!$E:$E,MATCH($B9,'01_UngVien_PhongVan'!$B:$B,0))),""))</f>
        <v>0906302457</v>
      </c>
      <c r="N9" s="60" t="str">
        <f t="array" ref="N9">IF($B9="","",IFERROR(IF(INDEX('01_UngVien_PhongVan'!$M:$M,MATCH($B9,'01_UngVien_PhongVan'!$B:$B,0))=0,"",INDEX('01_UngVien_PhongVan'!$M:$M,MATCH($B9,'01_UngVien_PhongVan'!$B:$B,0))),""))</f>
        <v>B12/10 Tân Kiên, Bình Chánh</v>
      </c>
      <c r="O9" s="60" t="str">
        <f t="array" ref="O9">IF($B9="","",IFERROR(IF(INDEX('01_UngVien_PhongVan'!$N:$N,MATCH($B9,'01_UngVien_PhongVan'!$B:$B,0))=0,"",INDEX('01_UngVien_PhongVan'!$N:$N,MATCH($B9,'01_UngVien_PhongVan'!$B:$B,0))),""))</f>
        <v>B12/10 Tân Kiên, Bình Chánh</v>
      </c>
      <c r="P9" s="60">
        <f t="array" ref="P9">IF($B9="","",IFERROR(IF(INDEX('01_UngVien_PhongVan'!$O:$O,MATCH($B9,'01_UngVien_PhongVan'!$B:$B,0))=0,"",INDEX('01_UngVien_PhongVan'!$O:$O,MATCH($B9,'01_UngVien_PhongVan'!$B:$B,0))),""))</f>
      </c>
      <c r="Q9" s="60" t="str">
        <f t="array" ref="Q9">IF($B9="","",IFERROR(IF(INDEX('01_UngVien_PhongVan'!$P:$P,MATCH($B9,'01_UngVien_PhongVan'!$B:$B,0))=0,"",INDEX('01_UngVien_PhongVan'!$P:$P,MATCH($B9,'01_UngVien_PhongVan'!$B:$B,0))),""))</f>
        <v>Văn Thị Kiều Tiên</v>
      </c>
      <c r="R9" s="60" t="str">
        <f t="array" ref="R9">IF($B9="","",IFERROR(IF(INDEX('01_UngVien_PhongVan'!$Q:$Q,MATCH($B9,'01_UngVien_PhongVan'!$B:$B,0))=0,"",INDEX('01_UngVien_PhongVan'!$Q:$Q,MATCH($B9,'01_UngVien_PhongVan'!$B:$B,0))),""))</f>
        <v>0934308309</v>
      </c>
      <c r="S9" s="60">
        <f t="array" ref="S9">IF($B9="","",IFERROR(IF(INDEX('01_UngVien_PhongVan'!$R:$R,MATCH($B9,'01_UngVien_PhongVan'!$B:$B,0))=0,"",INDEX('01_UngVien_PhongVan'!$R:$R,MATCH($B9,'01_UngVien_PhongVan'!$B:$B,0))),""))</f>
      </c>
      <c r="T9" s="60">
        <f t="array" ref="T9">IF($B9="","",IFERROR(IF(INDEX('01_UngVien_PhongVan'!$U:$U,MATCH($B9,'01_UngVien_PhongVan'!$B:$B,0))=0,"",INDEX('01_UngVien_PhongVan'!$U:$U,MATCH($B9,'01_UngVien_PhongVan'!$B:$B,0))),""))</f>
      </c>
      <c r="U9" s="73">
        <f t="array" ref="U9">IF($B9="","",IFERROR(IF(INDEX('01_UngVien_PhongVan'!$C:$C,MATCH($B9,'01_UngVien_PhongVan'!$B:$B,0))=0,"",INDEX('01_UngVien_PhongVan'!$C:$C,MATCH($B9,'01_UngVien_PhongVan'!$B:$B,0))),""))</f>
        <v>46237</v>
      </c>
      <c r="V9" s="73">
        <f t="array" ref="V9">IF($B9="","",IFERROR(IF(INDEX('02_DS_Nhan_Viec'!$D:$D,MATCH($B9,'02_DS_Nhan_Viec'!$B:$B,0))=0,"",INDEX('02_DS_Nhan_Viec'!$D:$D,MATCH($B9,'02_DS_Nhan_Viec'!$B:$B,0))),""))</f>
        <v>46244</v>
      </c>
      <c r="W9" s="73">
        <f t="array" ref="W9">IF($B9="","",IFERROR(IF(INDEX('02_DS_Nhan_Viec'!$E:$E,MATCH($B9,'02_DS_Nhan_Viec'!$B:$B,0))=0,"",INDEX('02_DS_Nhan_Viec'!$E:$E,MATCH($B9,'02_DS_Nhan_Viec'!$B:$B,0))),""))</f>
        <v>46244</v>
      </c>
      <c r="X9" s="73">
        <f t="array" ref="X9">IF($C9="","",IFERROR(IF(INDEX('05_Theo_Doi_Gio_Cong_7_Ngay'!$P:$P,MATCH($C9,'05_Theo_Doi_Gio_Cong_7_Ngay'!$B:$B,0))=0,"",INDEX('05_Theo_Doi_Gio_Cong_7_Ngay'!$P:$P,MATCH($C9,'05_Theo_Doi_Gio_Cong_7_Ngay'!$B:$B,0))),""))</f>
        <v>46251</v>
      </c>
      <c r="Y9" s="60" t="str">
        <f t="array" ref="Y9">IF($C9="","",IFERROR(IF(INDEX('05_Theo_Doi_Gio_Cong_7_Ngay'!$M:$M,MATCH($C9,'05_Theo_Doi_Gio_Cong_7_Ngay'!$B:$B,0))=0,"",INDEX('05_Theo_Doi_Gio_Cong_7_Ngay'!$M:$M,MATCH($C9,'05_Theo_Doi_Gio_Cong_7_Ngay'!$B:$B,0))),""))</f>
        <v>✅ ĐỦ 7 NGÀY - Đạt chuẩn</v>
      </c>
      <c r="Z9" s="60" t="str">
        <f t="array" ref="Z9">IF($C9="","",IFERROR(IF(INDEX('05_Theo_Doi_Gio_Cong_7_Ngay'!$Q:$Q,MATCH($C9,'05_Theo_Doi_Gio_Cong_7_Ngay'!$B:$B,0))=0,"",INDEX('05_Theo_Doi_Gio_Cong_7_Ngay'!$Q:$Q,MATCH($C9,'05_Theo_Doi_Gio_Cong_7_Ngay'!$B:$B,0))),""))</f>
        <v>✅ Đủ điều kiện - Đưa đi lấy dấu vân tay</v>
      </c>
      <c r="AA9" s="60" t="str">
        <f t="array" ref="AA9">IF($B9="","",IFERROR(IF(INDEX('02_DS_Nhan_Viec'!$H:$H,MATCH($B9,'02_DS_Nhan_Viec'!$B:$B,0))=0,"",INDEX('02_DS_Nhan_Viec'!$H:$H,MATCH($B9,'02_DS_Nhan_Viec'!$B:$B,0))),""))</f>
        <v>Chuẩn bị</v>
      </c>
      <c r="AB9" s="60" t="str">
        <f t="array" ref="AB9">IF($B9="","",IFERROR(IF(INDEX('02_DS_Nhan_Viec'!$I:$I,MATCH($B9,'02_DS_Nhan_Viec'!$B:$B,0))=0,"",INDEX('02_DS_Nhan_Viec'!$I:$I,MATCH($B9,'02_DS_Nhan_Viec'!$B:$B,0))),""))</f>
        <v>Thợ may</v>
      </c>
      <c r="AC9" s="61" t="str">
        <f t="array" ref="AC9">IF($B9="","",IF($C9="","Đang theo dõi",IF(OR(ISNUMBER(SEARCH("Không đủ điều kiện",IFERROR(INDEX('05_Theo_Doi_Gio_Cong_7_Ngay'!$Q:$Q,MATCH($C9,'05_Theo_Doi_Gio_Cong_7_Ngay'!$B:$B,0)),""))),ISNUMBER(SEARCH("Đủ 7 ngày nhưng",IFERROR(INDEX('05_Theo_Doi_Gio_Cong_7_Ngay'!$Q:$Q,MATCH($C9,'05_Theo_Doi_Gio_Cong_7_Ngay'!$B:$B,0)),"")))),"Đã nghỉ",IF(AND(OR(ISNUMBER(SEARCH("Đủ điều kiện",IFERROR(INDEX('05_Theo_Doi_Gio_Cong_7_Ngay'!$Q:$Q,MATCH($C9,'05_Theo_Doi_Gio_Cong_7_Ngay'!$B:$B,0)),""))),ISNUMBER(SEARCH("Đã có số thẻ",IFERROR(INDEX('05_Theo_Doi_Gio_Cong_7_Ngay'!$Q:$Q,MATCH($C9,'05_Theo_Doi_Gio_Cong_7_Ngay'!$B:$B,0)),"")))),IFERROR(INDEX('05_Theo_Doi_Gio_Cong_7_Ngay'!$R:$R,MATCH($C9,'05_Theo_Doi_Gio_Cong_7_Ngay'!$B:$B,0)),"")&lt;&gt;""),IFERROR(INDEX('06_DS_Chinh_Thuc'!$K:$K,MATCH(IFERROR(INDEX('05_Theo_Doi_Gio_Cong_7_Ngay'!$R:$R,MATCH($C9,'05_Theo_Doi_Gio_Cong_7_Ngay'!$B:$B,0)),""),'06_DS_Chinh_Thuc'!$B:$B,0)),"Đang theo dõi"),"Đang theo dõi"))))</f>
        <v>Đã nghỉ</v>
      </c>
    </row>
    <row r="10" ht="27" customHeight="1" spans="1:29" x14ac:dyDescent="0.25">
      <c r="A10" s="52">
        <f t="shared" si="0"/>
        <v>9</v>
      </c>
      <c r="B10" s="52" t="str">
        <f t="array" ref="B10">IFERROR(INDEX('02_DS_Nhan_Viec'!$B:$B,MATCH(9,'02_DS_Nhan_Viec'!$M:$M,0)),"")</f>
        <v>UV0826-002</v>
      </c>
      <c r="C10" s="52" t="str">
        <f t="array" ref="C10">IF($B10="","",IFERROR(IF(INDEX('02_DS_Nhan_Viec'!$J:$J,MATCH($B10,'02_DS_Nhan_Viec'!$B:$B,0))=0,"",INDEX('02_DS_Nhan_Viec'!$J:$J,MATCH($B10,'02_DS_Nhan_Viec'!$B:$B,0))),""))</f>
        <v>NV009</v>
      </c>
      <c r="D10" s="52">
        <f t="array" ref="D10">IF($C10="","",IFERROR(IF(INDEX('05_Theo_Doi_Gio_Cong_7_Ngay'!$R:$R,MATCH($C10,'05_Theo_Doi_Gio_Cong_7_Ngay'!$B:$B,0))=0,"",INDEX('05_Theo_Doi_Gio_Cong_7_Ngay'!$R:$R,MATCH($C10,'05_Theo_Doi_Gio_Cong_7_Ngay'!$B:$B,0))),""))</f>
        <v>495</v>
      </c>
      <c r="E10" s="60" t="str">
        <f t="array" ref="E10">IF($B10="","",IFERROR(IF(INDEX('01_UngVien_PhongVan'!$D:$D,MATCH($B10,'01_UngVien_PhongVan'!$B:$B,0))=0,"",INDEX('01_UngVien_PhongVan'!$D:$D,MATCH($B10,'01_UngVien_PhongVan'!$B:$B,0))),""))</f>
        <v>Lâm Hữu An</v>
      </c>
      <c r="F10" s="52" t="str">
        <f t="array" ref="F10">IF($B10="","",IFERROR(IF(INDEX('01_UngVien_PhongVan'!$F:$F,MATCH($B10,'01_UngVien_PhongVan'!$B:$B,0))=0,"",INDEX('01_UngVien_PhongVan'!$F:$F,MATCH($B10,'01_UngVien_PhongVan'!$B:$B,0))),""))</f>
        <v>Nam</v>
      </c>
      <c r="G10" s="72">
        <f t="array" ref="G10">IF($B10="","",IFERROR(IF(INDEX('01_UngVien_PhongVan'!$G:$G,MATCH($B10,'01_UngVien_PhongVan'!$B:$B,0))=0,"",INDEX('01_UngVien_PhongVan'!$G:$G,MATCH($B10,'01_UngVien_PhongVan'!$B:$B,0))),""))</f>
        <v>2005</v>
      </c>
      <c r="H10" s="52">
        <f t="array" ref="H10">IF($B10="","",IFERROR(IF(INDEX('01_UngVien_PhongVan'!$H:$H,MATCH($B10,'01_UngVien_PhongVan'!$B:$B,0))=0,"",INDEX('01_UngVien_PhongVan'!$H:$H,MATCH($B10,'01_UngVien_PhongVan'!$B:$B,0))),""))</f>
      </c>
      <c r="I10" s="60">
        <f t="array" ref="I10">IF($B10="","",IFERROR(IF(INDEX('01_UngVien_PhongVan'!$I:$I,MATCH($B10,'01_UngVien_PhongVan'!$B:$B,0))=0,"",INDEX('01_UngVien_PhongVan'!$I:$I,MATCH($B10,'01_UngVien_PhongVan'!$B:$B,0))),""))</f>
      </c>
      <c r="J10" s="60" t="str">
        <f t="array" ref="J10">IF($B10="","",IFERROR(IF(INDEX('01_UngVien_PhongVan'!$J:$J,MATCH($B10,'01_UngVien_PhongVan'!$B:$B,0))=0,"",INDEX('01_UngVien_PhongVan'!$J:$J,MATCH($B10,'01_UngVien_PhongVan'!$B:$B,0))),""))</f>
        <v>079205006440</v>
      </c>
      <c r="K10" s="73">
        <f t="array" ref="K10">IF($B10="","",IFERROR(IF(INDEX('01_UngVien_PhongVan'!$K:$K,MATCH($B10,'01_UngVien_PhongVan'!$B:$B,0))=0,"",INDEX('01_UngVien_PhongVan'!$K:$K,MATCH($B10,'01_UngVien_PhongVan'!$B:$B,0))),""))</f>
        <v>44574</v>
      </c>
      <c r="L10" s="60" t="str">
        <f t="array" ref="L10">IF($B10="","",IFERROR(IF(INDEX('01_UngVien_PhongVan'!$L:$L,MATCH($B10,'01_UngVien_PhongVan'!$B:$B,0))=0,"",INDEX('01_UngVien_PhongVan'!$L:$L,MATCH($B10,'01_UngVien_PhongVan'!$B:$B,0))),""))</f>
        <v>Công an TP.HCM</v>
      </c>
      <c r="M10" s="60">
        <f t="array" ref="M10">IF($B10="","",IFERROR(IF(INDEX('01_UngVien_PhongVan'!$E:$E,MATCH($B10,'01_UngVien_PhongVan'!$B:$B,0))=0,"",INDEX('01_UngVien_PhongVan'!$E:$E,MATCH($B10,'01_UngVien_PhongVan'!$B:$B,0))),""))</f>
      </c>
      <c r="N10" s="60" t="str">
        <f t="array" ref="N10">IF($B10="","",IFERROR(IF(INDEX('01_UngVien_PhongVan'!$M:$M,MATCH($B10,'01_UngVien_PhongVan'!$B:$B,0))=0,"",INDEX('01_UngVien_PhongVan'!$M:$M,MATCH($B10,'01_UngVien_PhongVan'!$B:$B,0))),""))</f>
        <v>A3/9N, Ấp 1, Tân Kiên, Bình Chánh, TP.HCM</v>
      </c>
      <c r="O10" s="60" t="str">
        <f t="array" ref="O10">IF($B10="","",IFERROR(IF(INDEX('01_UngVien_PhongVan'!$N:$N,MATCH($B10,'01_UngVien_PhongVan'!$B:$B,0))=0,"",INDEX('01_UngVien_PhongVan'!$N:$N,MATCH($B10,'01_UngVien_PhongVan'!$B:$B,0))),""))</f>
        <v>A3/9N, Ấp 1, Tân Kiên, Bình Chánh, TP.HCM</v>
      </c>
      <c r="P10" s="60">
        <f t="array" ref="P10">IF($B10="","",IFERROR(IF(INDEX('01_UngVien_PhongVan'!$O:$O,MATCH($B10,'01_UngVien_PhongVan'!$B:$B,0))=0,"",INDEX('01_UngVien_PhongVan'!$O:$O,MATCH($B10,'01_UngVien_PhongVan'!$B:$B,0))),""))</f>
      </c>
      <c r="Q10" s="60" t="str">
        <f t="array" ref="Q10">IF($B10="","",IFERROR(IF(INDEX('01_UngVien_PhongVan'!$P:$P,MATCH($B10,'01_UngVien_PhongVan'!$B:$B,0))=0,"",INDEX('01_UngVien_PhongVan'!$P:$P,MATCH($B10,'01_UngVien_PhongVan'!$B:$B,0))),""))</f>
        <v>Lâm Ngọc Bình</v>
      </c>
      <c r="R10" s="60" t="str">
        <f t="array" ref="R10">IF($B10="","",IFERROR(IF(INDEX('01_UngVien_PhongVan'!$Q:$Q,MATCH($B10,'01_UngVien_PhongVan'!$B:$B,0))=0,"",INDEX('01_UngVien_PhongVan'!$Q:$Q,MATCH($B10,'01_UngVien_PhongVan'!$B:$B,0))),""))</f>
        <v>0769416388</v>
      </c>
      <c r="S10" s="60">
        <f t="array" ref="S10">IF($B10="","",IFERROR(IF(INDEX('01_UngVien_PhongVan'!$R:$R,MATCH($B10,'01_UngVien_PhongVan'!$B:$B,0))=0,"",INDEX('01_UngVien_PhongVan'!$R:$R,MATCH($B10,'01_UngVien_PhongVan'!$B:$B,0))),""))</f>
      </c>
      <c r="T10" s="60">
        <f t="array" ref="T10">IF($B10="","",IFERROR(IF(INDEX('01_UngVien_PhongVan'!$U:$U,MATCH($B10,'01_UngVien_PhongVan'!$B:$B,0))=0,"",INDEX('01_UngVien_PhongVan'!$U:$U,MATCH($B10,'01_UngVien_PhongVan'!$B:$B,0))),""))</f>
      </c>
      <c r="U10" s="73">
        <f t="array" ref="U10">IF($B10="","",IFERROR(IF(INDEX('01_UngVien_PhongVan'!$C:$C,MATCH($B10,'01_UngVien_PhongVan'!$B:$B,0))=0,"",INDEX('01_UngVien_PhongVan'!$C:$C,MATCH($B10,'01_UngVien_PhongVan'!$B:$B,0))),""))</f>
        <v>46239</v>
      </c>
      <c r="V10" s="73">
        <f t="array" ref="V10">IF($B10="","",IFERROR(IF(INDEX('02_DS_Nhan_Viec'!$D:$D,MATCH($B10,'02_DS_Nhan_Viec'!$B:$B,0))=0,"",INDEX('02_DS_Nhan_Viec'!$D:$D,MATCH($B10,'02_DS_Nhan_Viec'!$B:$B,0))),""))</f>
        <v>46248</v>
      </c>
      <c r="W10" s="73">
        <f t="array" ref="W10">IF($B10="","",IFERROR(IF(INDEX('02_DS_Nhan_Viec'!$E:$E,MATCH($B10,'02_DS_Nhan_Viec'!$B:$B,0))=0,"",INDEX('02_DS_Nhan_Viec'!$E:$E,MATCH($B10,'02_DS_Nhan_Viec'!$B:$B,0))),""))</f>
        <v>46248</v>
      </c>
      <c r="X10" s="73">
        <f t="array" ref="X10">IF($C10="","",IFERROR(IF(INDEX('05_Theo_Doi_Gio_Cong_7_Ngay'!$P:$P,MATCH($C10,'05_Theo_Doi_Gio_Cong_7_Ngay'!$B:$B,0))=0,"",INDEX('05_Theo_Doi_Gio_Cong_7_Ngay'!$P:$P,MATCH($C10,'05_Theo_Doi_Gio_Cong_7_Ngay'!$B:$B,0))),""))</f>
        <v>46255</v>
      </c>
      <c r="Y10" s="60" t="str">
        <f t="array" ref="Y10">IF($C10="","",IFERROR(IF(INDEX('05_Theo_Doi_Gio_Cong_7_Ngay'!$M:$M,MATCH($C10,'05_Theo_Doi_Gio_Cong_7_Ngay'!$B:$B,0))=0,"",INDEX('05_Theo_Doi_Gio_Cong_7_Ngay'!$M:$M,MATCH($C10,'05_Theo_Doi_Gio_Cong_7_Ngay'!$B:$B,0))),""))</f>
        <v>✅ ĐỦ 7 NGÀY - Đạt chuẩn</v>
      </c>
      <c r="Z10" s="60" t="str">
        <f t="array" ref="Z10">IF($C10="","",IFERROR(IF(INDEX('05_Theo_Doi_Gio_Cong_7_Ngay'!$Q:$Q,MATCH($C10,'05_Theo_Doi_Gio_Cong_7_Ngay'!$B:$B,0))=0,"",INDEX('05_Theo_Doi_Gio_Cong_7_Ngay'!$Q:$Q,MATCH($C10,'05_Theo_Doi_Gio_Cong_7_Ngay'!$B:$B,0))),""))</f>
        <v>✅ Đủ điều kiện - Đưa đi lấy dấu vân tay</v>
      </c>
      <c r="AA10" s="60" t="str">
        <f t="array" ref="AA10">IF($B10="","",IFERROR(IF(INDEX('02_DS_Nhan_Viec'!$H:$H,MATCH($B10,'02_DS_Nhan_Viec'!$B:$B,0))=0,"",INDEX('02_DS_Nhan_Viec'!$H:$H,MATCH($B10,'02_DS_Nhan_Viec'!$B:$B,0))),""))</f>
        <v>Chuyền A</v>
      </c>
      <c r="AB10" s="60" t="str">
        <f t="array" ref="AB10">IF($B10="","",IFERROR(IF(INDEX('02_DS_Nhan_Viec'!$I:$I,MATCH($B10,'02_DS_Nhan_Viec'!$B:$B,0))=0,"",INDEX('02_DS_Nhan_Viec'!$I:$I,MATCH($B10,'02_DS_Nhan_Viec'!$B:$B,0))),""))</f>
        <v>Thợ may</v>
      </c>
      <c r="AC10" s="61" t="str">
        <f t="array" ref="AC10">IF($B10="","",IF($C10="","Đang theo dõi",IF(OR(ISNUMBER(SEARCH("Không đủ điều kiện",IFERROR(INDEX('05_Theo_Doi_Gio_Cong_7_Ngay'!$Q:$Q,MATCH($C10,'05_Theo_Doi_Gio_Cong_7_Ngay'!$B:$B,0)),""))),ISNUMBER(SEARCH("Đủ 7 ngày nhưng",IFERROR(INDEX('05_Theo_Doi_Gio_Cong_7_Ngay'!$Q:$Q,MATCH($C10,'05_Theo_Doi_Gio_Cong_7_Ngay'!$B:$B,0)),"")))),"Đã nghỉ",IF(AND(OR(ISNUMBER(SEARCH("Đủ điều kiện",IFERROR(INDEX('05_Theo_Doi_Gio_Cong_7_Ngay'!$Q:$Q,MATCH($C10,'05_Theo_Doi_Gio_Cong_7_Ngay'!$B:$B,0)),""))),ISNUMBER(SEARCH("Đã có số thẻ",IFERROR(INDEX('05_Theo_Doi_Gio_Cong_7_Ngay'!$Q:$Q,MATCH($C10,'05_Theo_Doi_Gio_Cong_7_Ngay'!$B:$B,0)),"")))),IFERROR(INDEX('05_Theo_Doi_Gio_Cong_7_Ngay'!$R:$R,MATCH($C10,'05_Theo_Doi_Gio_Cong_7_Ngay'!$B:$B,0)),"")&lt;&gt;""),IFERROR(INDEX('06_DS_Chinh_Thuc'!$K:$K,MATCH(IFERROR(INDEX('05_Theo_Doi_Gio_Cong_7_Ngay'!$R:$R,MATCH($C10,'05_Theo_Doi_Gio_Cong_7_Ngay'!$B:$B,0)),""),'06_DS_Chinh_Thuc'!$B:$B,0)),"Đang theo dõi"),"Đang theo dõi"))))</f>
        <v>Đang làm</v>
      </c>
    </row>
    <row r="11" ht="27" customHeight="1" spans="1:29" x14ac:dyDescent="0.25">
      <c r="A11" s="52">
        <f t="shared" si="0"/>
        <v>10</v>
      </c>
      <c r="B11" s="52" t="str">
        <f t="array" ref="B11">IFERROR(INDEX('02_DS_Nhan_Viec'!$B:$B,MATCH(10,'02_DS_Nhan_Viec'!$M:$M,0)),"")</f>
        <v>UV0826-003</v>
      </c>
      <c r="C11" s="52" t="str">
        <f t="array" ref="C11">IF($B11="","",IFERROR(IF(INDEX('02_DS_Nhan_Viec'!$J:$J,MATCH($B11,'02_DS_Nhan_Viec'!$B:$B,0))=0,"",INDEX('02_DS_Nhan_Viec'!$J:$J,MATCH($B11,'02_DS_Nhan_Viec'!$B:$B,0))),""))</f>
        <v>NV010</v>
      </c>
      <c r="D11" s="52">
        <f t="array" ref="D11">IF($C11="","",IFERROR(IF(INDEX('05_Theo_Doi_Gio_Cong_7_Ngay'!$R:$R,MATCH($C11,'05_Theo_Doi_Gio_Cong_7_Ngay'!$B:$B,0))=0,"",INDEX('05_Theo_Doi_Gio_Cong_7_Ngay'!$R:$R,MATCH($C11,'05_Theo_Doi_Gio_Cong_7_Ngay'!$B:$B,0))),""))</f>
      </c>
      <c r="E11" s="60" t="str">
        <f t="array" ref="E11">IF($B11="","",IFERROR(IF(INDEX('01_UngVien_PhongVan'!$D:$D,MATCH($B11,'01_UngVien_PhongVan'!$B:$B,0))=0,"",INDEX('01_UngVien_PhongVan'!$D:$D,MATCH($B11,'01_UngVien_PhongVan'!$B:$B,0))),""))</f>
        <v>Trần Ngọc Bảo Trân</v>
      </c>
      <c r="F11" s="52" t="str">
        <f t="array" ref="F11">IF($B11="","",IFERROR(IF(INDEX('01_UngVien_PhongVan'!$F:$F,MATCH($B11,'01_UngVien_PhongVan'!$B:$B,0))=0,"",INDEX('01_UngVien_PhongVan'!$F:$F,MATCH($B11,'01_UngVien_PhongVan'!$B:$B,0))),""))</f>
        <v>Nữ</v>
      </c>
      <c r="G11" s="72">
        <f t="array" ref="G11">IF($B11="","",IFERROR(IF(INDEX('01_UngVien_PhongVan'!$G:$G,MATCH($B11,'01_UngVien_PhongVan'!$B:$B,0))=0,"",INDEX('01_UngVien_PhongVan'!$G:$G,MATCH($B11,'01_UngVien_PhongVan'!$B:$B,0))),""))</f>
        <v>2005</v>
      </c>
      <c r="H11" s="52">
        <f t="array" ref="H11">IF($B11="","",IFERROR(IF(INDEX('01_UngVien_PhongVan'!$H:$H,MATCH($B11,'01_UngVien_PhongVan'!$B:$B,0))=0,"",INDEX('01_UngVien_PhongVan'!$H:$H,MATCH($B11,'01_UngVien_PhongVan'!$B:$B,0))),""))</f>
      </c>
      <c r="I11" s="60">
        <f t="array" ref="I11">IF($B11="","",IFERROR(IF(INDEX('01_UngVien_PhongVan'!$I:$I,MATCH($B11,'01_UngVien_PhongVan'!$B:$B,0))=0,"",INDEX('01_UngVien_PhongVan'!$I:$I,MATCH($B11,'01_UngVien_PhongVan'!$B:$B,0))),""))</f>
      </c>
      <c r="J11" s="60" t="str">
        <f t="array" ref="J11">IF($B11="","",IFERROR(IF(INDEX('01_UngVien_PhongVan'!$J:$J,MATCH($B11,'01_UngVien_PhongVan'!$B:$B,0))=0,"",INDEX('01_UngVien_PhongVan'!$J:$J,MATCH($B11,'01_UngVien_PhongVan'!$B:$B,0))),""))</f>
        <v>082305000281</v>
      </c>
      <c r="K11" s="73">
        <f t="array" ref="K11">IF($B11="","",IFERROR(IF(INDEX('01_UngVien_PhongVan'!$K:$K,MATCH($B11,'01_UngVien_PhongVan'!$B:$B,0))=0,"",INDEX('01_UngVien_PhongVan'!$K:$K,MATCH($B11,'01_UngVien_PhongVan'!$B:$B,0))),""))</f>
        <v>44751</v>
      </c>
      <c r="L11" s="60" t="str">
        <f t="array" ref="L11">IF($B11="","",IFERROR(IF(INDEX('01_UngVien_PhongVan'!$L:$L,MATCH($B11,'01_UngVien_PhongVan'!$B:$B,0))=0,"",INDEX('01_UngVien_PhongVan'!$L:$L,MATCH($B11,'01_UngVien_PhongVan'!$B:$B,0))),""))</f>
        <v>Công an TP.HCM</v>
      </c>
      <c r="M11" s="60" t="str">
        <f t="array" ref="M11">IF($B11="","",IFERROR(IF(INDEX('01_UngVien_PhongVan'!$E:$E,MATCH($B11,'01_UngVien_PhongVan'!$B:$B,0))=0,"",INDEX('01_UngVien_PhongVan'!$E:$E,MATCH($B11,'01_UngVien_PhongVan'!$B:$B,0))),""))</f>
        <v>0931276018</v>
      </c>
      <c r="N11" s="60" t="str">
        <f t="array" ref="N11">IF($B11="","",IFERROR(IF(INDEX('01_UngVien_PhongVan'!$M:$M,MATCH($B11,'01_UngVien_PhongVan'!$B:$B,0))=0,"",INDEX('01_UngVien_PhongVan'!$M:$M,MATCH($B11,'01_UngVien_PhongVan'!$B:$B,0))),""))</f>
        <v>Tân Kiên, Bình Chánh, TP.HCM</v>
      </c>
      <c r="O11" s="60" t="str">
        <f t="array" ref="O11">IF($B11="","",IFERROR(IF(INDEX('01_UngVien_PhongVan'!$N:$N,MATCH($B11,'01_UngVien_PhongVan'!$B:$B,0))=0,"",INDEX('01_UngVien_PhongVan'!$N:$N,MATCH($B11,'01_UngVien_PhongVan'!$B:$B,0))),""))</f>
        <v>Tân Kiên, Bình Chánh, TP.HCM</v>
      </c>
      <c r="P11" s="60">
        <f t="array" ref="P11">IF($B11="","",IFERROR(IF(INDEX('01_UngVien_PhongVan'!$O:$O,MATCH($B11,'01_UngVien_PhongVan'!$B:$B,0))=0,"",INDEX('01_UngVien_PhongVan'!$O:$O,MATCH($B11,'01_UngVien_PhongVan'!$B:$B,0))),""))</f>
      </c>
      <c r="Q11" s="60" t="str">
        <f t="array" ref="Q11">IF($B11="","",IFERROR(IF(INDEX('01_UngVien_PhongVan'!$P:$P,MATCH($B11,'01_UngVien_PhongVan'!$B:$B,0))=0,"",INDEX('01_UngVien_PhongVan'!$P:$P,MATCH($B11,'01_UngVien_PhongVan'!$B:$B,0))),""))</f>
        <v>Ngô Thanh Phong</v>
      </c>
      <c r="R11" s="60" t="str">
        <f t="array" ref="R11">IF($B11="","",IFERROR(IF(INDEX('01_UngVien_PhongVan'!$Q:$Q,MATCH($B11,'01_UngVien_PhongVan'!$B:$B,0))=0,"",INDEX('01_UngVien_PhongVan'!$Q:$Q,MATCH($B11,'01_UngVien_PhongVan'!$B:$B,0))),""))</f>
        <v>0165527440</v>
      </c>
      <c r="S11" s="60">
        <f t="array" ref="S11">IF($B11="","",IFERROR(IF(INDEX('01_UngVien_PhongVan'!$R:$R,MATCH($B11,'01_UngVien_PhongVan'!$B:$B,0))=0,"",INDEX('01_UngVien_PhongVan'!$R:$R,MATCH($B11,'01_UngVien_PhongVan'!$B:$B,0))),""))</f>
      </c>
      <c r="T11" s="60">
        <f t="array" ref="T11">IF($B11="","",IFERROR(IF(INDEX('01_UngVien_PhongVan'!$U:$U,MATCH($B11,'01_UngVien_PhongVan'!$B:$B,0))=0,"",INDEX('01_UngVien_PhongVan'!$U:$U,MATCH($B11,'01_UngVien_PhongVan'!$B:$B,0))),""))</f>
      </c>
      <c r="U11" s="73">
        <f t="array" ref="U11">IF($B11="","",IFERROR(IF(INDEX('01_UngVien_PhongVan'!$C:$C,MATCH($B11,'01_UngVien_PhongVan'!$B:$B,0))=0,"",INDEX('01_UngVien_PhongVan'!$C:$C,MATCH($B11,'01_UngVien_PhongVan'!$B:$B,0))),""))</f>
        <v>46244</v>
      </c>
      <c r="V11" s="73">
        <f t="array" ref="V11">IF($B11="","",IFERROR(IF(INDEX('02_DS_Nhan_Viec'!$D:$D,MATCH($B11,'02_DS_Nhan_Viec'!$B:$B,0))=0,"",INDEX('02_DS_Nhan_Viec'!$D:$D,MATCH($B11,'02_DS_Nhan_Viec'!$B:$B,0))),""))</f>
        <v>46244</v>
      </c>
      <c r="W11" s="73">
        <f t="array" ref="W11">IF($B11="","",IFERROR(IF(INDEX('02_DS_Nhan_Viec'!$E:$E,MATCH($B11,'02_DS_Nhan_Viec'!$B:$B,0))=0,"",INDEX('02_DS_Nhan_Viec'!$E:$E,MATCH($B11,'02_DS_Nhan_Viec'!$B:$B,0))),""))</f>
        <v>46244</v>
      </c>
      <c r="X11" s="73">
        <f t="array" ref="X11">IF($C11="","",IFERROR(IF(INDEX('05_Theo_Doi_Gio_Cong_7_Ngay'!$P:$P,MATCH($C11,'05_Theo_Doi_Gio_Cong_7_Ngay'!$B:$B,0))=0,"",INDEX('05_Theo_Doi_Gio_Cong_7_Ngay'!$P:$P,MATCH($C11,'05_Theo_Doi_Gio_Cong_7_Ngay'!$B:$B,0))),""))</f>
        <v>46251</v>
      </c>
      <c r="Y11" s="60" t="str">
        <f t="array" ref="Y11">IF($C11="","",IFERROR(IF(INDEX('05_Theo_Doi_Gio_Cong_7_Ngay'!$M:$M,MATCH($C11,'05_Theo_Doi_Gio_Cong_7_Ngay'!$B:$B,0))=0,"",INDEX('05_Theo_Doi_Gio_Cong_7_Ngay'!$M:$M,MATCH($C11,'05_Theo_Doi_Gio_Cong_7_Ngay'!$B:$B,0))),""))</f>
        <v>❌ Không đạt chuẩn (quá hạn 19 ngày)</v>
      </c>
      <c r="Z11" s="60" t="str">
        <f t="array" ref="Z11">IF($C11="","",IFERROR(IF(INDEX('05_Theo_Doi_Gio_Cong_7_Ngay'!$Q:$Q,MATCH($C11,'05_Theo_Doi_Gio_Cong_7_Ngay'!$B:$B,0))=0,"",INDEX('05_Theo_Doi_Gio_Cong_7_Ngay'!$Q:$Q,MATCH($C11,'05_Theo_Doi_Gio_Cong_7_Ngay'!$B:$B,0))),""))</f>
        <v>❌ Không đủ điều kiện (quá hạn)</v>
      </c>
      <c r="AA11" s="60">
        <f t="array" ref="AA11">IF($B11="","",IFERROR(IF(INDEX('02_DS_Nhan_Viec'!$H:$H,MATCH($B11,'02_DS_Nhan_Viec'!$B:$B,0))=0,"",INDEX('02_DS_Nhan_Viec'!$H:$H,MATCH($B11,'02_DS_Nhan_Viec'!$B:$B,0))),""))</f>
      </c>
      <c r="AB11" s="60">
        <f t="array" ref="AB11">IF($B11="","",IFERROR(IF(INDEX('02_DS_Nhan_Viec'!$I:$I,MATCH($B11,'02_DS_Nhan_Viec'!$B:$B,0))=0,"",INDEX('02_DS_Nhan_Viec'!$I:$I,MATCH($B11,'02_DS_Nhan_Viec'!$B:$B,0))),""))</f>
      </c>
      <c r="AC11" s="61" t="str">
        <f t="array" ref="AC11">IF($B11="","",IF($C11="","Đang theo dõi",IF(OR(ISNUMBER(SEARCH("Không đủ điều kiện",IFERROR(INDEX('05_Theo_Doi_Gio_Cong_7_Ngay'!$Q:$Q,MATCH($C11,'05_Theo_Doi_Gio_Cong_7_Ngay'!$B:$B,0)),""))),ISNUMBER(SEARCH("Đủ 7 ngày nhưng",IFERROR(INDEX('05_Theo_Doi_Gio_Cong_7_Ngay'!$Q:$Q,MATCH($C11,'05_Theo_Doi_Gio_Cong_7_Ngay'!$B:$B,0)),"")))),"Đã nghỉ",IF(AND(OR(ISNUMBER(SEARCH("Đủ điều kiện",IFERROR(INDEX('05_Theo_Doi_Gio_Cong_7_Ngay'!$Q:$Q,MATCH($C11,'05_Theo_Doi_Gio_Cong_7_Ngay'!$B:$B,0)),""))),ISNUMBER(SEARCH("Đã có số thẻ",IFERROR(INDEX('05_Theo_Doi_Gio_Cong_7_Ngay'!$Q:$Q,MATCH($C11,'05_Theo_Doi_Gio_Cong_7_Ngay'!$B:$B,0)),"")))),IFERROR(INDEX('05_Theo_Doi_Gio_Cong_7_Ngay'!$R:$R,MATCH($C11,'05_Theo_Doi_Gio_Cong_7_Ngay'!$B:$B,0)),"")&lt;&gt;""),IFERROR(INDEX('06_DS_Chinh_Thuc'!$K:$K,MATCH(IFERROR(INDEX('05_Theo_Doi_Gio_Cong_7_Ngay'!$R:$R,MATCH($C11,'05_Theo_Doi_Gio_Cong_7_Ngay'!$B:$B,0)),""),'06_DS_Chinh_Thuc'!$B:$B,0)),"Đang theo dõi"),"Đang theo dõi"))))</f>
        <v>Đã nghỉ</v>
      </c>
    </row>
    <row r="12" ht="27" customHeight="1" spans="1:29" x14ac:dyDescent="0.25">
      <c r="A12" s="52">
        <f t="shared" si="0"/>
        <v>11</v>
      </c>
      <c r="B12" s="52" t="str">
        <f t="array" ref="B12">IFERROR(INDEX('02_DS_Nhan_Viec'!$B:$B,MATCH(11,'02_DS_Nhan_Viec'!$M:$M,0)),"")</f>
        <v>UV0826-005</v>
      </c>
      <c r="C12" s="52" t="str">
        <f t="array" ref="C12">IF($B12="","",IFERROR(IF(INDEX('02_DS_Nhan_Viec'!$J:$J,MATCH($B12,'02_DS_Nhan_Viec'!$B:$B,0))=0,"",INDEX('02_DS_Nhan_Viec'!$J:$J,MATCH($B12,'02_DS_Nhan_Viec'!$B:$B,0))),""))</f>
        <v>NV011</v>
      </c>
      <c r="D12" s="52">
        <f t="array" ref="D12">IF($C12="","",IFERROR(IF(INDEX('05_Theo_Doi_Gio_Cong_7_Ngay'!$R:$R,MATCH($C12,'05_Theo_Doi_Gio_Cong_7_Ngay'!$B:$B,0))=0,"",INDEX('05_Theo_Doi_Gio_Cong_7_Ngay'!$R:$R,MATCH($C12,'05_Theo_Doi_Gio_Cong_7_Ngay'!$B:$B,0))),""))</f>
        <v>493</v>
      </c>
      <c r="E12" s="60" t="str">
        <f t="array" ref="E12">IF($B12="","",IFERROR(IF(INDEX('01_UngVien_PhongVan'!$D:$D,MATCH($B12,'01_UngVien_PhongVan'!$B:$B,0))=0,"",INDEX('01_UngVien_PhongVan'!$D:$D,MATCH($B12,'01_UngVien_PhongVan'!$B:$B,0))),""))</f>
        <v>Chu Nữ Ngọc Song Linh</v>
      </c>
      <c r="F12" s="52" t="str">
        <f t="array" ref="F12">IF($B12="","",IFERROR(IF(INDEX('01_UngVien_PhongVan'!$F:$F,MATCH($B12,'01_UngVien_PhongVan'!$B:$B,0))=0,"",INDEX('01_UngVien_PhongVan'!$F:$F,MATCH($B12,'01_UngVien_PhongVan'!$B:$B,0))),""))</f>
        <v>Nữ</v>
      </c>
      <c r="G12" s="72">
        <f t="array" ref="G12">IF($B12="","",IFERROR(IF(INDEX('01_UngVien_PhongVan'!$G:$G,MATCH($B12,'01_UngVien_PhongVan'!$B:$B,0))=0,"",INDEX('01_UngVien_PhongVan'!$G:$G,MATCH($B12,'01_UngVien_PhongVan'!$B:$B,0))),""))</f>
        <v>2008</v>
      </c>
      <c r="H12" s="52">
        <f t="array" ref="H12">IF($B12="","",IFERROR(IF(INDEX('01_UngVien_PhongVan'!$H:$H,MATCH($B12,'01_UngVien_PhongVan'!$B:$B,0))=0,"",INDEX('01_UngVien_PhongVan'!$H:$H,MATCH($B12,'01_UngVien_PhongVan'!$B:$B,0))),""))</f>
      </c>
      <c r="I12" s="60">
        <f t="array" ref="I12">IF($B12="","",IFERROR(IF(INDEX('01_UngVien_PhongVan'!$I:$I,MATCH($B12,'01_UngVien_PhongVan'!$B:$B,0))=0,"",INDEX('01_UngVien_PhongVan'!$I:$I,MATCH($B12,'01_UngVien_PhongVan'!$B:$B,0))),""))</f>
      </c>
      <c r="J12" s="60" t="str">
        <f t="array" ref="J12">IF($B12="","",IFERROR(IF(INDEX('01_UngVien_PhongVan'!$J:$J,MATCH($B12,'01_UngVien_PhongVan'!$B:$B,0))=0,"",INDEX('01_UngVien_PhongVan'!$J:$J,MATCH($B12,'01_UngVien_PhongVan'!$B:$B,0))),""))</f>
        <v>092308004177</v>
      </c>
      <c r="K12" s="73">
        <f t="array" ref="K12">IF($B12="","",IFERROR(IF(INDEX('01_UngVien_PhongVan'!$K:$K,MATCH($B12,'01_UngVien_PhongVan'!$B:$B,0))=0,"",INDEX('01_UngVien_PhongVan'!$K:$K,MATCH($B12,'01_UngVien_PhongVan'!$B:$B,0))),""))</f>
        <v>44964</v>
      </c>
      <c r="L12" s="60" t="str">
        <f t="array" ref="L12">IF($B12="","",IFERROR(IF(INDEX('01_UngVien_PhongVan'!$L:$L,MATCH($B12,'01_UngVien_PhongVan'!$B:$B,0))=0,"",INDEX('01_UngVien_PhongVan'!$L:$L,MATCH($B12,'01_UngVien_PhongVan'!$B:$B,0))),""))</f>
        <v>Công an Cần Thơ</v>
      </c>
      <c r="M12" s="60" t="str">
        <f t="array" ref="M12">IF($B12="","",IFERROR(IF(INDEX('01_UngVien_PhongVan'!$E:$E,MATCH($B12,'01_UngVien_PhongVan'!$B:$B,0))=0,"",INDEX('01_UngVien_PhongVan'!$E:$E,MATCH($B12,'01_UngVien_PhongVan'!$B:$B,0))),""))</f>
        <v>0777722211</v>
      </c>
      <c r="N12" s="60" t="str">
        <f t="array" ref="N12">IF($B12="","",IFERROR(IF(INDEX('01_UngVien_PhongVan'!$M:$M,MATCH($B12,'01_UngVien_PhongVan'!$B:$B,0))=0,"",INDEX('01_UngVien_PhongVan'!$M:$M,MATCH($B12,'01_UngVien_PhongVan'!$B:$B,0))),""))</f>
        <v>Khu Dân Cư Hai Thành, Phường, Số 8, Tân Tạo, Bình Tân</v>
      </c>
      <c r="O12" s="60" t="str">
        <f t="array" ref="O12">IF($B12="","",IFERROR(IF(INDEX('01_UngVien_PhongVan'!$N:$N,MATCH($B12,'01_UngVien_PhongVan'!$B:$B,0))=0,"",INDEX('01_UngVien_PhongVan'!$N:$N,MATCH($B12,'01_UngVien_PhongVan'!$B:$B,0))),""))</f>
        <v>Khu Dân Cư Hai Thành, Phường, Số 8, Tân Tạo, Bình Tân</v>
      </c>
      <c r="P12" s="60">
        <f t="array" ref="P12">IF($B12="","",IFERROR(IF(INDEX('01_UngVien_PhongVan'!$O:$O,MATCH($B12,'01_UngVien_PhongVan'!$B:$B,0))=0,"",INDEX('01_UngVien_PhongVan'!$O:$O,MATCH($B12,'01_UngVien_PhongVan'!$B:$B,0))),""))</f>
      </c>
      <c r="Q12" s="60" t="str">
        <f t="array" ref="Q12">IF($B12="","",IFERROR(IF(INDEX('01_UngVien_PhongVan'!$P:$P,MATCH($B12,'01_UngVien_PhongVan'!$B:$B,0))=0,"",INDEX('01_UngVien_PhongVan'!$P:$P,MATCH($B12,'01_UngVien_PhongVan'!$B:$B,0))),""))</f>
        <v>Chu Đình Minh</v>
      </c>
      <c r="R12" s="60" t="str">
        <f t="array" ref="R12">IF($B12="","",IFERROR(IF(INDEX('01_UngVien_PhongVan'!$Q:$Q,MATCH($B12,'01_UngVien_PhongVan'!$B:$B,0))=0,"",INDEX('01_UngVien_PhongVan'!$Q:$Q,MATCH($B12,'01_UngVien_PhongVan'!$B:$B,0))),""))</f>
        <v>09186655622</v>
      </c>
      <c r="S12" s="60">
        <f t="array" ref="S12">IF($B12="","",IFERROR(IF(INDEX('01_UngVien_PhongVan'!$R:$R,MATCH($B12,'01_UngVien_PhongVan'!$B:$B,0))=0,"",INDEX('01_UngVien_PhongVan'!$R:$R,MATCH($B12,'01_UngVien_PhongVan'!$B:$B,0))),""))</f>
      </c>
      <c r="T12" s="60">
        <f t="array" ref="T12">IF($B12="","",IFERROR(IF(INDEX('01_UngVien_PhongVan'!$U:$U,MATCH($B12,'01_UngVien_PhongVan'!$B:$B,0))=0,"",INDEX('01_UngVien_PhongVan'!$U:$U,MATCH($B12,'01_UngVien_PhongVan'!$B:$B,0))),""))</f>
      </c>
      <c r="U12" s="73">
        <f t="array" ref="U12">IF($B12="","",IFERROR(IF(INDEX('01_UngVien_PhongVan'!$C:$C,MATCH($B12,'01_UngVien_PhongVan'!$B:$B,0))=0,"",INDEX('01_UngVien_PhongVan'!$C:$C,MATCH($B12,'01_UngVien_PhongVan'!$B:$B,0))),""))</f>
        <v>46244</v>
      </c>
      <c r="V12" s="73">
        <f t="array" ref="V12">IF($B12="","",IFERROR(IF(INDEX('02_DS_Nhan_Viec'!$D:$D,MATCH($B12,'02_DS_Nhan_Viec'!$B:$B,0))=0,"",INDEX('02_DS_Nhan_Viec'!$D:$D,MATCH($B12,'02_DS_Nhan_Viec'!$B:$B,0))),""))</f>
        <v>46244</v>
      </c>
      <c r="W12" s="73">
        <f t="array" ref="W12">IF($B12="","",IFERROR(IF(INDEX('02_DS_Nhan_Viec'!$E:$E,MATCH($B12,'02_DS_Nhan_Viec'!$B:$B,0))=0,"",INDEX('02_DS_Nhan_Viec'!$E:$E,MATCH($B12,'02_DS_Nhan_Viec'!$B:$B,0))),""))</f>
        <v>46244</v>
      </c>
      <c r="X12" s="73">
        <f t="array" ref="X12">IF($C12="","",IFERROR(IF(INDEX('05_Theo_Doi_Gio_Cong_7_Ngay'!$P:$P,MATCH($C12,'05_Theo_Doi_Gio_Cong_7_Ngay'!$B:$B,0))=0,"",INDEX('05_Theo_Doi_Gio_Cong_7_Ngay'!$P:$P,MATCH($C12,'05_Theo_Doi_Gio_Cong_7_Ngay'!$B:$B,0))),""))</f>
        <v>46251</v>
      </c>
      <c r="Y12" s="60" t="str">
        <f t="array" ref="Y12">IF($C12="","",IFERROR(IF(INDEX('05_Theo_Doi_Gio_Cong_7_Ngay'!$M:$M,MATCH($C12,'05_Theo_Doi_Gio_Cong_7_Ngay'!$B:$B,0))=0,"",INDEX('05_Theo_Doi_Gio_Cong_7_Ngay'!$M:$M,MATCH($C12,'05_Theo_Doi_Gio_Cong_7_Ngay'!$B:$B,0))),""))</f>
        <v>✅ ĐỦ 7 NGÀY - Đạt chuẩn</v>
      </c>
      <c r="Z12" s="60" t="str">
        <f t="array" ref="Z12">IF($C12="","",IFERROR(IF(INDEX('05_Theo_Doi_Gio_Cong_7_Ngay'!$Q:$Q,MATCH($C12,'05_Theo_Doi_Gio_Cong_7_Ngay'!$B:$B,0))=0,"",INDEX('05_Theo_Doi_Gio_Cong_7_Ngay'!$Q:$Q,MATCH($C12,'05_Theo_Doi_Gio_Cong_7_Ngay'!$B:$B,0))),""))</f>
        <v>✅ Đủ điều kiện - Đưa đi lấy dấu vân tay</v>
      </c>
      <c r="AA12" s="60" t="str">
        <f t="array" ref="AA12">IF($B12="","",IFERROR(IF(INDEX('02_DS_Nhan_Viec'!$H:$H,MATCH($B12,'02_DS_Nhan_Viec'!$B:$B,0))=0,"",INDEX('02_DS_Nhan_Viec'!$H:$H,MATCH($B12,'02_DS_Nhan_Viec'!$B:$B,0))),""))</f>
        <v>Chuyền B</v>
      </c>
      <c r="AB12" s="60" t="str">
        <f t="array" ref="AB12">IF($B12="","",IFERROR(IF(INDEX('02_DS_Nhan_Viec'!$I:$I,MATCH($B12,'02_DS_Nhan_Viec'!$B:$B,0))=0,"",INDEX('02_DS_Nhan_Viec'!$I:$I,MATCH($B12,'02_DS_Nhan_Viec'!$B:$B,0))),""))</f>
        <v>Thợ may</v>
      </c>
      <c r="AC12" s="61" t="str">
        <f t="array" ref="AC12">IF($B12="","",IF($C12="","Đang theo dõi",IF(OR(ISNUMBER(SEARCH("Không đủ điều kiện",IFERROR(INDEX('05_Theo_Doi_Gio_Cong_7_Ngay'!$Q:$Q,MATCH($C12,'05_Theo_Doi_Gio_Cong_7_Ngay'!$B:$B,0)),""))),ISNUMBER(SEARCH("Đủ 7 ngày nhưng",IFERROR(INDEX('05_Theo_Doi_Gio_Cong_7_Ngay'!$Q:$Q,MATCH($C12,'05_Theo_Doi_Gio_Cong_7_Ngay'!$B:$B,0)),"")))),"Đã nghỉ",IF(AND(OR(ISNUMBER(SEARCH("Đủ điều kiện",IFERROR(INDEX('05_Theo_Doi_Gio_Cong_7_Ngay'!$Q:$Q,MATCH($C12,'05_Theo_Doi_Gio_Cong_7_Ngay'!$B:$B,0)),""))),ISNUMBER(SEARCH("Đã có số thẻ",IFERROR(INDEX('05_Theo_Doi_Gio_Cong_7_Ngay'!$Q:$Q,MATCH($C12,'05_Theo_Doi_Gio_Cong_7_Ngay'!$B:$B,0)),"")))),IFERROR(INDEX('05_Theo_Doi_Gio_Cong_7_Ngay'!$R:$R,MATCH($C12,'05_Theo_Doi_Gio_Cong_7_Ngay'!$B:$B,0)),"")&lt;&gt;""),IFERROR(INDEX('06_DS_Chinh_Thuc'!$K:$K,MATCH(IFERROR(INDEX('05_Theo_Doi_Gio_Cong_7_Ngay'!$R:$R,MATCH($C12,'05_Theo_Doi_Gio_Cong_7_Ngay'!$B:$B,0)),""),'06_DS_Chinh_Thuc'!$B:$B,0)),"Đang theo dõi"),"Đang theo dõi"))))</f>
        <v>Đang làm</v>
      </c>
    </row>
    <row r="13" ht="27" customHeight="1" spans="1:29" x14ac:dyDescent="0.25">
      <c r="A13" s="52">
        <f t="shared" si="0"/>
        <v>12</v>
      </c>
      <c r="B13" s="52" t="str">
        <f t="array" ref="B13">IFERROR(INDEX('02_DS_Nhan_Viec'!$B:$B,MATCH(12,'02_DS_Nhan_Viec'!$M:$M,0)),"")</f>
        <v>UV0826-007</v>
      </c>
      <c r="C13" s="52" t="str">
        <f t="array" ref="C13">IF($B13="","",IFERROR(IF(INDEX('02_DS_Nhan_Viec'!$J:$J,MATCH($B13,'02_DS_Nhan_Viec'!$B:$B,0))=0,"",INDEX('02_DS_Nhan_Viec'!$J:$J,MATCH($B13,'02_DS_Nhan_Viec'!$B:$B,0))),""))</f>
        <v>NV012</v>
      </c>
      <c r="D13" s="52">
        <f t="array" ref="D13">IF($C13="","",IFERROR(IF(INDEX('05_Theo_Doi_Gio_Cong_7_Ngay'!$R:$R,MATCH($C13,'05_Theo_Doi_Gio_Cong_7_Ngay'!$B:$B,0))=0,"",INDEX('05_Theo_Doi_Gio_Cong_7_Ngay'!$R:$R,MATCH($C13,'05_Theo_Doi_Gio_Cong_7_Ngay'!$B:$B,0))),""))</f>
        <v>183</v>
      </c>
      <c r="E13" s="60" t="str">
        <f t="array" ref="E13">IF($B13="","",IFERROR(IF(INDEX('01_UngVien_PhongVan'!$D:$D,MATCH($B13,'01_UngVien_PhongVan'!$B:$B,0))=0,"",INDEX('01_UngVien_PhongVan'!$D:$D,MATCH($B13,'01_UngVien_PhongVan'!$B:$B,0))),""))</f>
        <v>Trần Thị Đó</v>
      </c>
      <c r="F13" s="52" t="str">
        <f t="array" ref="F13">IF($B13="","",IFERROR(IF(INDEX('01_UngVien_PhongVan'!$F:$F,MATCH($B13,'01_UngVien_PhongVan'!$B:$B,0))=0,"",INDEX('01_UngVien_PhongVan'!$F:$F,MATCH($B13,'01_UngVien_PhongVan'!$B:$B,0))),""))</f>
        <v>Nữ</v>
      </c>
      <c r="G13" s="72">
        <f t="array" ref="G13">IF($B13="","",IFERROR(IF(INDEX('01_UngVien_PhongVan'!$G:$G,MATCH($B13,'01_UngVien_PhongVan'!$B:$B,0))=0,"",INDEX('01_UngVien_PhongVan'!$G:$G,MATCH($B13,'01_UngVien_PhongVan'!$B:$B,0))),""))</f>
        <v>1976</v>
      </c>
      <c r="H13" s="52">
        <f t="array" ref="H13">IF($B13="","",IFERROR(IF(INDEX('01_UngVien_PhongVan'!$H:$H,MATCH($B13,'01_UngVien_PhongVan'!$B:$B,0))=0,"",INDEX('01_UngVien_PhongVan'!$H:$H,MATCH($B13,'01_UngVien_PhongVan'!$B:$B,0))),""))</f>
      </c>
      <c r="I13" s="60">
        <f t="array" ref="I13">IF($B13="","",IFERROR(IF(INDEX('01_UngVien_PhongVan'!$I:$I,MATCH($B13,'01_UngVien_PhongVan'!$B:$B,0))=0,"",INDEX('01_UngVien_PhongVan'!$I:$I,MATCH($B13,'01_UngVien_PhongVan'!$B:$B,0))),""))</f>
      </c>
      <c r="J13" s="60" t="str">
        <f t="array" ref="J13">IF($B13="","",IFERROR(IF(INDEX('01_UngVien_PhongVan'!$J:$J,MATCH($B13,'01_UngVien_PhongVan'!$B:$B,0))=0,"",INDEX('01_UngVien_PhongVan'!$J:$J,MATCH($B13,'01_UngVien_PhongVan'!$B:$B,0))),""))</f>
        <v>087176009951</v>
      </c>
      <c r="K13" s="73">
        <f t="array" ref="K13">IF($B13="","",IFERROR(IF(INDEX('01_UngVien_PhongVan'!$K:$K,MATCH($B13,'01_UngVien_PhongVan'!$B:$B,0))=0,"",INDEX('01_UngVien_PhongVan'!$K:$K,MATCH($B13,'01_UngVien_PhongVan'!$B:$B,0))),""))</f>
        <v>44546</v>
      </c>
      <c r="L13" s="60" t="str">
        <f t="array" ref="L13">IF($B13="","",IFERROR(IF(INDEX('01_UngVien_PhongVan'!$L:$L,MATCH($B13,'01_UngVien_PhongVan'!$B:$B,0))=0,"",INDEX('01_UngVien_PhongVan'!$L:$L,MATCH($B13,'01_UngVien_PhongVan'!$B:$B,0))),""))</f>
        <v>Công an An Giang</v>
      </c>
      <c r="M13" s="60" t="str">
        <f t="array" ref="M13">IF($B13="","",IFERROR(IF(INDEX('01_UngVien_PhongVan'!$E:$E,MATCH($B13,'01_UngVien_PhongVan'!$B:$B,0))=0,"",INDEX('01_UngVien_PhongVan'!$E:$E,MATCH($B13,'01_UngVien_PhongVan'!$B:$B,0))),""))</f>
        <v>0878989449</v>
      </c>
      <c r="N13" s="60" t="str">
        <f t="array" ref="N13">IF($B13="","",IFERROR(IF(INDEX('01_UngVien_PhongVan'!$M:$M,MATCH($B13,'01_UngVien_PhongVan'!$B:$B,0))=0,"",INDEX('01_UngVien_PhongVan'!$M:$M,MATCH($B13,'01_UngVien_PhongVan'!$B:$B,0))),""))</f>
        <v>Đường Cây Bàng, Tân Nhựt, Bình Chánh, TP.HCM</v>
      </c>
      <c r="O13" s="60" t="str">
        <f t="array" ref="O13">IF($B13="","",IFERROR(IF(INDEX('01_UngVien_PhongVan'!$N:$N,MATCH($B13,'01_UngVien_PhongVan'!$B:$B,0))=0,"",INDEX('01_UngVien_PhongVan'!$N:$N,MATCH($B13,'01_UngVien_PhongVan'!$B:$B,0))),""))</f>
        <v>Đường Cây Bàng, Tân Nhựt, Bình Chánh, TP.HCM</v>
      </c>
      <c r="P13" s="60">
        <f t="array" ref="P13">IF($B13="","",IFERROR(IF(INDEX('01_UngVien_PhongVan'!$O:$O,MATCH($B13,'01_UngVien_PhongVan'!$B:$B,0))=0,"",INDEX('01_UngVien_PhongVan'!$O:$O,MATCH($B13,'01_UngVien_PhongVan'!$B:$B,0))),""))</f>
      </c>
      <c r="Q13" s="60" t="str">
        <f t="array" ref="Q13">IF($B13="","",IFERROR(IF(INDEX('01_UngVien_PhongVan'!$P:$P,MATCH($B13,'01_UngVien_PhongVan'!$B:$B,0))=0,"",INDEX('01_UngVien_PhongVan'!$P:$P,MATCH($B13,'01_UngVien_PhongVan'!$B:$B,0))),""))</f>
        <v>Nguyễn Hữu Tài</v>
      </c>
      <c r="R13" s="60" t="str">
        <f t="array" ref="R13">IF($B13="","",IFERROR(IF(INDEX('01_UngVien_PhongVan'!$Q:$Q,MATCH($B13,'01_UngVien_PhongVan'!$B:$B,0))=0,"",INDEX('01_UngVien_PhongVan'!$Q:$Q,MATCH($B13,'01_UngVien_PhongVan'!$B:$B,0))),""))</f>
        <v>0908389030</v>
      </c>
      <c r="S13" s="60">
        <f t="array" ref="S13">IF($B13="","",IFERROR(IF(INDEX('01_UngVien_PhongVan'!$R:$R,MATCH($B13,'01_UngVien_PhongVan'!$B:$B,0))=0,"",INDEX('01_UngVien_PhongVan'!$R:$R,MATCH($B13,'01_UngVien_PhongVan'!$B:$B,0))),""))</f>
      </c>
      <c r="T13" s="60">
        <f t="array" ref="T13">IF($B13="","",IFERROR(IF(INDEX('01_UngVien_PhongVan'!$U:$U,MATCH($B13,'01_UngVien_PhongVan'!$B:$B,0))=0,"",INDEX('01_UngVien_PhongVan'!$U:$U,MATCH($B13,'01_UngVien_PhongVan'!$B:$B,0))),""))</f>
      </c>
      <c r="U13" s="73">
        <f t="array" ref="U13">IF($B13="","",IFERROR(IF(INDEX('01_UngVien_PhongVan'!$C:$C,MATCH($B13,'01_UngVien_PhongVan'!$B:$B,0))=0,"",INDEX('01_UngVien_PhongVan'!$C:$C,MATCH($B13,'01_UngVien_PhongVan'!$B:$B,0))),""))</f>
        <v>46245</v>
      </c>
      <c r="V13" s="73">
        <f t="array" ref="V13">IF($B13="","",IFERROR(IF(INDEX('02_DS_Nhan_Viec'!$D:$D,MATCH($B13,'02_DS_Nhan_Viec'!$B:$B,0))=0,"",INDEX('02_DS_Nhan_Viec'!$D:$D,MATCH($B13,'02_DS_Nhan_Viec'!$B:$B,0))),""))</f>
        <v>46246</v>
      </c>
      <c r="W13" s="73">
        <f t="array" ref="W13">IF($B13="","",IFERROR(IF(INDEX('02_DS_Nhan_Viec'!$E:$E,MATCH($B13,'02_DS_Nhan_Viec'!$B:$B,0))=0,"",INDEX('02_DS_Nhan_Viec'!$E:$E,MATCH($B13,'02_DS_Nhan_Viec'!$B:$B,0))),""))</f>
        <v>46246</v>
      </c>
      <c r="X13" s="73">
        <f t="array" ref="X13">IF($C13="","",IFERROR(IF(INDEX('05_Theo_Doi_Gio_Cong_7_Ngay'!$P:$P,MATCH($C13,'05_Theo_Doi_Gio_Cong_7_Ngay'!$B:$B,0))=0,"",INDEX('05_Theo_Doi_Gio_Cong_7_Ngay'!$P:$P,MATCH($C13,'05_Theo_Doi_Gio_Cong_7_Ngay'!$B:$B,0))),""))</f>
        <v>46253</v>
      </c>
      <c r="Y13" s="60" t="str">
        <f t="array" ref="Y13">IF($C13="","",IFERROR(IF(INDEX('05_Theo_Doi_Gio_Cong_7_Ngay'!$M:$M,MATCH($C13,'05_Theo_Doi_Gio_Cong_7_Ngay'!$B:$B,0))=0,"",INDEX('05_Theo_Doi_Gio_Cong_7_Ngay'!$M:$M,MATCH($C13,'05_Theo_Doi_Gio_Cong_7_Ngay'!$B:$B,0))),""))</f>
        <v>✅ ĐỦ 7 NGÀY - Đạt chuẩn</v>
      </c>
      <c r="Z13" s="60" t="str">
        <f t="array" ref="Z13">IF($C13="","",IFERROR(IF(INDEX('05_Theo_Doi_Gio_Cong_7_Ngay'!$Q:$Q,MATCH($C13,'05_Theo_Doi_Gio_Cong_7_Ngay'!$B:$B,0))=0,"",INDEX('05_Theo_Doi_Gio_Cong_7_Ngay'!$Q:$Q,MATCH($C13,'05_Theo_Doi_Gio_Cong_7_Ngay'!$B:$B,0))),""))</f>
        <v>✅ Đủ điều kiện - Đưa đi lấy dấu vân tay</v>
      </c>
      <c r="AA13" s="60">
        <f t="array" ref="AA13">IF($B13="","",IFERROR(IF(INDEX('02_DS_Nhan_Viec'!$H:$H,MATCH($B13,'02_DS_Nhan_Viec'!$B:$B,0))=0,"",INDEX('02_DS_Nhan_Viec'!$H:$H,MATCH($B13,'02_DS_Nhan_Viec'!$B:$B,0))),""))</f>
      </c>
      <c r="AB13" s="60">
        <f t="array" ref="AB13">IF($B13="","",IFERROR(IF(INDEX('02_DS_Nhan_Viec'!$I:$I,MATCH($B13,'02_DS_Nhan_Viec'!$B:$B,0))=0,"",INDEX('02_DS_Nhan_Viec'!$I:$I,MATCH($B13,'02_DS_Nhan_Viec'!$B:$B,0))),""))</f>
      </c>
      <c r="AC13" s="61" t="str">
        <f t="array" ref="AC13">IF($B13="","",IF($C13="","Đang theo dõi",IF(OR(ISNUMBER(SEARCH("Không đủ điều kiện",IFERROR(INDEX('05_Theo_Doi_Gio_Cong_7_Ngay'!$Q:$Q,MATCH($C13,'05_Theo_Doi_Gio_Cong_7_Ngay'!$B:$B,0)),""))),ISNUMBER(SEARCH("Đủ 7 ngày nhưng",IFERROR(INDEX('05_Theo_Doi_Gio_Cong_7_Ngay'!$Q:$Q,MATCH($C13,'05_Theo_Doi_Gio_Cong_7_Ngay'!$B:$B,0)),"")))),"Đã nghỉ",IF(AND(OR(ISNUMBER(SEARCH("Đủ điều kiện",IFERROR(INDEX('05_Theo_Doi_Gio_Cong_7_Ngay'!$Q:$Q,MATCH($C13,'05_Theo_Doi_Gio_Cong_7_Ngay'!$B:$B,0)),""))),ISNUMBER(SEARCH("Đã có số thẻ",IFERROR(INDEX('05_Theo_Doi_Gio_Cong_7_Ngay'!$Q:$Q,MATCH($C13,'05_Theo_Doi_Gio_Cong_7_Ngay'!$B:$B,0)),"")))),IFERROR(INDEX('05_Theo_Doi_Gio_Cong_7_Ngay'!$R:$R,MATCH($C13,'05_Theo_Doi_Gio_Cong_7_Ngay'!$B:$B,0)),"")&lt;&gt;""),IFERROR(INDEX('06_DS_Chinh_Thuc'!$K:$K,MATCH(IFERROR(INDEX('05_Theo_Doi_Gio_Cong_7_Ngay'!$R:$R,MATCH($C13,'05_Theo_Doi_Gio_Cong_7_Ngay'!$B:$B,0)),""),'06_DS_Chinh_Thuc'!$B:$B,0)),"Đang theo dõi"),"Đang theo dõi"))))</f>
        <v>Đang làm</v>
      </c>
    </row>
    <row r="14" ht="26.25" customHeight="1" spans="1:29" x14ac:dyDescent="0.25">
      <c r="A14" s="52">
        <f t="shared" si="0"/>
        <v>13</v>
      </c>
      <c r="B14" s="52" t="str">
        <f t="array" ref="B14">IFERROR(INDEX('02_DS_Nhan_Viec'!$B:$B,MATCH(13,'02_DS_Nhan_Viec'!$M:$M,0)),"")</f>
        <v>UV0826-012</v>
      </c>
      <c r="C14" s="52" t="str">
        <f t="array" ref="C14">IF($B14="","",IFERROR(IF(INDEX('02_DS_Nhan_Viec'!$J:$J,MATCH($B14,'02_DS_Nhan_Viec'!$B:$B,0))=0,"",INDEX('02_DS_Nhan_Viec'!$J:$J,MATCH($B14,'02_DS_Nhan_Viec'!$B:$B,0))),""))</f>
        <v>NV013</v>
      </c>
      <c r="D14" s="52">
        <f t="array" ref="D14">IF($C14="","",IFERROR(IF(INDEX('05_Theo_Doi_Gio_Cong_7_Ngay'!$R:$R,MATCH($C14,'05_Theo_Doi_Gio_Cong_7_Ngay'!$B:$B,0))=0,"",INDEX('05_Theo_Doi_Gio_Cong_7_Ngay'!$R:$R,MATCH($C14,'05_Theo_Doi_Gio_Cong_7_Ngay'!$B:$B,0))),""))</f>
      </c>
      <c r="E14" s="60" t="str">
        <f t="array" ref="E14">IF($B14="","",IFERROR(IF(INDEX('01_UngVien_PhongVan'!$D:$D,MATCH($B14,'01_UngVien_PhongVan'!$B:$B,0))=0,"",INDEX('01_UngVien_PhongVan'!$D:$D,MATCH($B14,'01_UngVien_PhongVan'!$B:$B,0))),""))</f>
        <v>Nguyễn Hữu Đức</v>
      </c>
      <c r="F14" s="52" t="str">
        <f t="array" ref="F14">IF($B14="","",IFERROR(IF(INDEX('01_UngVien_PhongVan'!$F:$F,MATCH($B14,'01_UngVien_PhongVan'!$B:$B,0))=0,"",INDEX('01_UngVien_PhongVan'!$F:$F,MATCH($B14,'01_UngVien_PhongVan'!$B:$B,0))),""))</f>
        <v>Nam</v>
      </c>
      <c r="G14" s="72">
        <f t="array" ref="G14">IF($B14="","",IFERROR(IF(INDEX('01_UngVien_PhongVan'!$G:$G,MATCH($B14,'01_UngVien_PhongVan'!$B:$B,0))=0,"",INDEX('01_UngVien_PhongVan'!$G:$G,MATCH($B14,'01_UngVien_PhongVan'!$B:$B,0))),""))</f>
        <v>1983</v>
      </c>
      <c r="H14" s="52">
        <f t="array" ref="H14">IF($B14="","",IFERROR(IF(INDEX('01_UngVien_PhongVan'!$H:$H,MATCH($B14,'01_UngVien_PhongVan'!$B:$B,0))=0,"",INDEX('01_UngVien_PhongVan'!$H:$H,MATCH($B14,'01_UngVien_PhongVan'!$B:$B,0))),""))</f>
      </c>
      <c r="I14" s="60">
        <f t="array" ref="I14">IF($B14="","",IFERROR(IF(INDEX('01_UngVien_PhongVan'!$I:$I,MATCH($B14,'01_UngVien_PhongVan'!$B:$B,0))=0,"",INDEX('01_UngVien_PhongVan'!$I:$I,MATCH($B14,'01_UngVien_PhongVan'!$B:$B,0))),""))</f>
      </c>
      <c r="J14" s="60" t="str">
        <f t="array" ref="J14">IF($B14="","",IFERROR(IF(INDEX('01_UngVien_PhongVan'!$J:$J,MATCH($B14,'01_UngVien_PhongVan'!$B:$B,0))=0,"",INDEX('01_UngVien_PhongVan'!$J:$J,MATCH($B14,'01_UngVien_PhongVan'!$B:$B,0))),""))</f>
        <v>089083017210</v>
      </c>
      <c r="K14" s="73">
        <f t="array" ref="K14">IF($B14="","",IFERROR(IF(INDEX('01_UngVien_PhongVan'!$K:$K,MATCH($B14,'01_UngVien_PhongVan'!$B:$B,0))=0,"",INDEX('01_UngVien_PhongVan'!$K:$K,MATCH($B14,'01_UngVien_PhongVan'!$B:$B,0))),""))</f>
        <v>45117</v>
      </c>
      <c r="L14" s="60" t="str">
        <f t="array" ref="L14">IF($B14="","",IFERROR(IF(INDEX('01_UngVien_PhongVan'!$L:$L,MATCH($B14,'01_UngVien_PhongVan'!$B:$B,0))=0,"",INDEX('01_UngVien_PhongVan'!$L:$L,MATCH($B14,'01_UngVien_PhongVan'!$B:$B,0))),""))</f>
        <v>Công an An Giang</v>
      </c>
      <c r="M14" s="60" t="str">
        <f t="array" ref="M14">IF($B14="","",IFERROR(IF(INDEX('01_UngVien_PhongVan'!$E:$E,MATCH($B14,'01_UngVien_PhongVan'!$B:$B,0))=0,"",INDEX('01_UngVien_PhongVan'!$E:$E,MATCH($B14,'01_UngVien_PhongVan'!$B:$B,0))),""))</f>
        <v>0386521142</v>
      </c>
      <c r="N14" s="60" t="str">
        <f t="array" ref="N14">IF($B14="","",IFERROR(IF(INDEX('01_UngVien_PhongVan'!$M:$M,MATCH($B14,'01_UngVien_PhongVan'!$B:$B,0))=0,"",INDEX('01_UngVien_PhongVan'!$M:$M,MATCH($B14,'01_UngVien_PhongVan'!$B:$B,0))),""))</f>
        <v>B1/20 Ấp 36, Tân Nhựt, Bình Chánh</v>
      </c>
      <c r="O14" s="60" t="str">
        <f t="array" ref="O14">IF($B14="","",IFERROR(IF(INDEX('01_UngVien_PhongVan'!$N:$N,MATCH($B14,'01_UngVien_PhongVan'!$B:$B,0))=0,"",INDEX('01_UngVien_PhongVan'!$N:$N,MATCH($B14,'01_UngVien_PhongVan'!$B:$B,0))),""))</f>
        <v>B1/20 Ấp 36, Tân Nhựt, Bình Chánh</v>
      </c>
      <c r="P14" s="60">
        <f t="array" ref="P14">IF($B14="","",IFERROR(IF(INDEX('01_UngVien_PhongVan'!$O:$O,MATCH($B14,'01_UngVien_PhongVan'!$B:$B,0))=0,"",INDEX('01_UngVien_PhongVan'!$O:$O,MATCH($B14,'01_UngVien_PhongVan'!$B:$B,0))),""))</f>
      </c>
      <c r="Q14" s="60" t="str">
        <f t="array" ref="Q14">IF($B14="","",IFERROR(IF(INDEX('01_UngVien_PhongVan'!$P:$P,MATCH($B14,'01_UngVien_PhongVan'!$B:$B,0))=0,"",INDEX('01_UngVien_PhongVan'!$P:$P,MATCH($B14,'01_UngVien_PhongVan'!$B:$B,0))),""))</f>
        <v>Võ Thị Mộng Điệp</v>
      </c>
      <c r="R14" s="60" t="str">
        <f t="array" ref="R14">IF($B14="","",IFERROR(IF(INDEX('01_UngVien_PhongVan'!$Q:$Q,MATCH($B14,'01_UngVien_PhongVan'!$B:$B,0))=0,"",INDEX('01_UngVien_PhongVan'!$Q:$Q,MATCH($B14,'01_UngVien_PhongVan'!$B:$B,0))),""))</f>
        <v>0908733944</v>
      </c>
      <c r="S14" s="60" t="str">
        <f t="array" ref="S14">IF($B14="","",IFERROR(IF(INDEX('01_UngVien_PhongVan'!$R:$R,MATCH($B14,'01_UngVien_PhongVan'!$B:$B,0))=0,"",INDEX('01_UngVien_PhongVan'!$R:$R,MATCH($B14,'01_UngVien_PhongVan'!$B:$B,0))),""))</f>
        <v>Thợ chặt</v>
      </c>
      <c r="T14" s="60">
        <f t="array" ref="T14">IF($B14="","",IFERROR(IF(INDEX('01_UngVien_PhongVan'!$U:$U,MATCH($B14,'01_UngVien_PhongVan'!$B:$B,0))=0,"",INDEX('01_UngVien_PhongVan'!$U:$U,MATCH($B14,'01_UngVien_PhongVan'!$B:$B,0))),""))</f>
      </c>
      <c r="U14" s="73">
        <f t="array" ref="U14">IF($B14="","",IFERROR(IF(INDEX('01_UngVien_PhongVan'!$C:$C,MATCH($B14,'01_UngVien_PhongVan'!$B:$B,0))=0,"",INDEX('01_UngVien_PhongVan'!$C:$C,MATCH($B14,'01_UngVien_PhongVan'!$B:$B,0))),""))</f>
        <v>46252</v>
      </c>
      <c r="V14" s="73">
        <f t="array" ref="V14">IF($B14="","",IFERROR(IF(INDEX('02_DS_Nhan_Viec'!$D:$D,MATCH($B14,'02_DS_Nhan_Viec'!$B:$B,0))=0,"",INDEX('02_DS_Nhan_Viec'!$D:$D,MATCH($B14,'02_DS_Nhan_Viec'!$B:$B,0))),""))</f>
        <v>46252</v>
      </c>
      <c r="W14" s="73">
        <f t="array" ref="W14">IF($B14="","",IFERROR(IF(INDEX('02_DS_Nhan_Viec'!$E:$E,MATCH($B14,'02_DS_Nhan_Viec'!$B:$B,0))=0,"",INDEX('02_DS_Nhan_Viec'!$E:$E,MATCH($B14,'02_DS_Nhan_Viec'!$B:$B,0))),""))</f>
        <v>46252</v>
      </c>
      <c r="X14" s="73">
        <f t="array" ref="X14">IF($C14="","",IFERROR(IF(INDEX('05_Theo_Doi_Gio_Cong_7_Ngay'!$P:$P,MATCH($C14,'05_Theo_Doi_Gio_Cong_7_Ngay'!$B:$B,0))=0,"",INDEX('05_Theo_Doi_Gio_Cong_7_Ngay'!$P:$P,MATCH($C14,'05_Theo_Doi_Gio_Cong_7_Ngay'!$B:$B,0))),""))</f>
        <v>46259</v>
      </c>
      <c r="Y14" s="60" t="str">
        <f t="array" ref="Y14">IF($C14="","",IFERROR(IF(INDEX('05_Theo_Doi_Gio_Cong_7_Ngay'!$M:$M,MATCH($C14,'05_Theo_Doi_Gio_Cong_7_Ngay'!$B:$B,0))=0,"",INDEX('05_Theo_Doi_Gio_Cong_7_Ngay'!$M:$M,MATCH($C14,'05_Theo_Doi_Gio_Cong_7_Ngay'!$B:$B,0))),""))</f>
        <v>❌ Không đạt chuẩn (quá hạn 11 ngày)</v>
      </c>
      <c r="Z14" s="60" t="str">
        <f t="array" ref="Z14">IF($C14="","",IFERROR(IF(INDEX('05_Theo_Doi_Gio_Cong_7_Ngay'!$Q:$Q,MATCH($C14,'05_Theo_Doi_Gio_Cong_7_Ngay'!$B:$B,0))=0,"",INDEX('05_Theo_Doi_Gio_Cong_7_Ngay'!$Q:$Q,MATCH($C14,'05_Theo_Doi_Gio_Cong_7_Ngay'!$B:$B,0))),""))</f>
        <v>❌ Không đủ điều kiện (quá hạn)</v>
      </c>
      <c r="AA14" s="60" t="str">
        <f t="array" ref="AA14">IF($B14="","",IFERROR(IF(INDEX('02_DS_Nhan_Viec'!$H:$H,MATCH($B14,'02_DS_Nhan_Viec'!$B:$B,0))=0,"",INDEX('02_DS_Nhan_Viec'!$H:$H,MATCH($B14,'02_DS_Nhan_Viec'!$B:$B,0))),""))</f>
        <v>Chuyền A</v>
      </c>
      <c r="AB14" s="60" t="str">
        <f t="array" ref="AB14">IF($B14="","",IFERROR(IF(INDEX('02_DS_Nhan_Viec'!$I:$I,MATCH($B14,'02_DS_Nhan_Viec'!$B:$B,0))=0,"",INDEX('02_DS_Nhan_Viec'!$I:$I,MATCH($B14,'02_DS_Nhan_Viec'!$B:$B,0))),""))</f>
        <v>Thợ may</v>
      </c>
      <c r="AC14" s="61" t="str">
        <f t="array" ref="AC14">IF($B14="","",IF($C14="","Đang theo dõi",IF(OR(ISNUMBER(SEARCH("Không đủ điều kiện",IFERROR(INDEX('05_Theo_Doi_Gio_Cong_7_Ngay'!$Q:$Q,MATCH($C14,'05_Theo_Doi_Gio_Cong_7_Ngay'!$B:$B,0)),""))),ISNUMBER(SEARCH("Đủ 7 ngày nhưng",IFERROR(INDEX('05_Theo_Doi_Gio_Cong_7_Ngay'!$Q:$Q,MATCH($C14,'05_Theo_Doi_Gio_Cong_7_Ngay'!$B:$B,0)),"")))),"Đã nghỉ",IF(AND(OR(ISNUMBER(SEARCH("Đủ điều kiện",IFERROR(INDEX('05_Theo_Doi_Gio_Cong_7_Ngay'!$Q:$Q,MATCH($C14,'05_Theo_Doi_Gio_Cong_7_Ngay'!$B:$B,0)),""))),ISNUMBER(SEARCH("Đã có số thẻ",IFERROR(INDEX('05_Theo_Doi_Gio_Cong_7_Ngay'!$Q:$Q,MATCH($C14,'05_Theo_Doi_Gio_Cong_7_Ngay'!$B:$B,0)),"")))),IFERROR(INDEX('05_Theo_Doi_Gio_Cong_7_Ngay'!$R:$R,MATCH($C14,'05_Theo_Doi_Gio_Cong_7_Ngay'!$B:$B,0)),"")&lt;&gt;""),IFERROR(INDEX('06_DS_Chinh_Thuc'!$K:$K,MATCH(IFERROR(INDEX('05_Theo_Doi_Gio_Cong_7_Ngay'!$R:$R,MATCH($C14,'05_Theo_Doi_Gio_Cong_7_Ngay'!$B:$B,0)),""),'06_DS_Chinh_Thuc'!$B:$B,0)),"Đang theo dõi"),"Đang theo dõi"))))</f>
        <v>Đã nghỉ</v>
      </c>
    </row>
    <row r="15" ht="26.25" customHeight="1" spans="1:29" x14ac:dyDescent="0.25">
      <c r="A15" s="52">
        <f t="shared" si="0"/>
        <v>14</v>
      </c>
      <c r="B15" s="52" t="str">
        <f t="array" ref="B15">IFERROR(INDEX('02_DS_Nhan_Viec'!$B:$B,MATCH(14,'02_DS_Nhan_Viec'!$M:$M,0)),"")</f>
        <v>UV0826-013</v>
      </c>
      <c r="C15" s="52" t="str">
        <f t="array" ref="C15">IF($B15="","",IFERROR(IF(INDEX('02_DS_Nhan_Viec'!$J:$J,MATCH($B15,'02_DS_Nhan_Viec'!$B:$B,0))=0,"",INDEX('02_DS_Nhan_Viec'!$J:$J,MATCH($B15,'02_DS_Nhan_Viec'!$B:$B,0))),""))</f>
        <v>NV014</v>
      </c>
      <c r="D15" s="52">
        <f t="array" ref="D15">IF($C15="","",IFERROR(IF(INDEX('05_Theo_Doi_Gio_Cong_7_Ngay'!$R:$R,MATCH($C15,'05_Theo_Doi_Gio_Cong_7_Ngay'!$B:$B,0))=0,"",INDEX('05_Theo_Doi_Gio_Cong_7_Ngay'!$R:$R,MATCH($C15,'05_Theo_Doi_Gio_Cong_7_Ngay'!$B:$B,0))),""))</f>
      </c>
      <c r="E15" s="60" t="str">
        <f t="array" ref="E15">IF($B15="","",IFERROR(IF(INDEX('01_UngVien_PhongVan'!$D:$D,MATCH($B15,'01_UngVien_PhongVan'!$B:$B,0))=0,"",INDEX('01_UngVien_PhongVan'!$D:$D,MATCH($B15,'01_UngVien_PhongVan'!$B:$B,0))),""))</f>
        <v>Võ Thị Thanh Tuyền</v>
      </c>
      <c r="F15" s="52" t="str">
        <f t="array" ref="F15">IF($B15="","",IFERROR(IF(INDEX('01_UngVien_PhongVan'!$F:$F,MATCH($B15,'01_UngVien_PhongVan'!$B:$B,0))=0,"",INDEX('01_UngVien_PhongVan'!$F:$F,MATCH($B15,'01_UngVien_PhongVan'!$B:$B,0))),""))</f>
        <v>Nữ</v>
      </c>
      <c r="G15" s="72">
        <f t="array" ref="G15">IF($B15="","",IFERROR(IF(INDEX('01_UngVien_PhongVan'!$G:$G,MATCH($B15,'01_UngVien_PhongVan'!$B:$B,0))=0,"",INDEX('01_UngVien_PhongVan'!$G:$G,MATCH($B15,'01_UngVien_PhongVan'!$B:$B,0))),""))</f>
        <v>1977</v>
      </c>
      <c r="H15" s="52">
        <f t="array" ref="H15">IF($B15="","",IFERROR(IF(INDEX('01_UngVien_PhongVan'!$H:$H,MATCH($B15,'01_UngVien_PhongVan'!$B:$B,0))=0,"",INDEX('01_UngVien_PhongVan'!$H:$H,MATCH($B15,'01_UngVien_PhongVan'!$B:$B,0))),""))</f>
      </c>
      <c r="I15" s="60">
        <f t="array" ref="I15">IF($B15="","",IFERROR(IF(INDEX('01_UngVien_PhongVan'!$I:$I,MATCH($B15,'01_UngVien_PhongVan'!$B:$B,0))=0,"",INDEX('01_UngVien_PhongVan'!$I:$I,MATCH($B15,'01_UngVien_PhongVan'!$B:$B,0))),""))</f>
      </c>
      <c r="J15" s="60" t="str">
        <f t="array" ref="J15">IF($B15="","",IFERROR(IF(INDEX('01_UngVien_PhongVan'!$J:$J,MATCH($B15,'01_UngVien_PhongVan'!$B:$B,0))=0,"",INDEX('01_UngVien_PhongVan'!$J:$J,MATCH($B15,'01_UngVien_PhongVan'!$B:$B,0))),""))</f>
        <v>080177011474</v>
      </c>
      <c r="K15" s="73">
        <f t="array" ref="K15">IF($B15="","",IFERROR(IF(INDEX('01_UngVien_PhongVan'!$K:$K,MATCH($B15,'01_UngVien_PhongVan'!$B:$B,0))=0,"",INDEX('01_UngVien_PhongVan'!$K:$K,MATCH($B15,'01_UngVien_PhongVan'!$B:$B,0))),""))</f>
        <v>46294</v>
      </c>
      <c r="L15" s="60" t="str">
        <f t="array" ref="L15">IF($B15="","",IFERROR(IF(INDEX('01_UngVien_PhongVan'!$L:$L,MATCH($B15,'01_UngVien_PhongVan'!$B:$B,0))=0,"",INDEX('01_UngVien_PhongVan'!$L:$L,MATCH($B15,'01_UngVien_PhongVan'!$B:$B,0))),""))</f>
        <v>Công an Long An</v>
      </c>
      <c r="M15" s="60" t="str">
        <f t="array" ref="M15">IF($B15="","",IFERROR(IF(INDEX('01_UngVien_PhongVan'!$E:$E,MATCH($B15,'01_UngVien_PhongVan'!$B:$B,0))=0,"",INDEX('01_UngVien_PhongVan'!$E:$E,MATCH($B15,'01_UngVien_PhongVan'!$B:$B,0))),""))</f>
        <v>0879655242</v>
      </c>
      <c r="N15" s="60" t="str">
        <f t="array" ref="N15">IF($B15="","",IFERROR(IF(INDEX('01_UngVien_PhongVan'!$M:$M,MATCH($B15,'01_UngVien_PhongVan'!$B:$B,0))=0,"",INDEX('01_UngVien_PhongVan'!$M:$M,MATCH($B15,'01_UngVien_PhongVan'!$B:$B,0))),""))</f>
        <v>B1/20 Ấp 36, Tân Nhựt, Bình Chánh</v>
      </c>
      <c r="O15" s="60" t="str">
        <f t="array" ref="O15">IF($B15="","",IFERROR(IF(INDEX('01_UngVien_PhongVan'!$N:$N,MATCH($B15,'01_UngVien_PhongVan'!$B:$B,0))=0,"",INDEX('01_UngVien_PhongVan'!$N:$N,MATCH($B15,'01_UngVien_PhongVan'!$B:$B,0))),""))</f>
        <v>B1/20 Ấp 36, Tân Nhựt, Bình Chánh</v>
      </c>
      <c r="P15" s="60">
        <f t="array" ref="P15">IF($B15="","",IFERROR(IF(INDEX('01_UngVien_PhongVan'!$O:$O,MATCH($B15,'01_UngVien_PhongVan'!$B:$B,0))=0,"",INDEX('01_UngVien_PhongVan'!$O:$O,MATCH($B15,'01_UngVien_PhongVan'!$B:$B,0))),""))</f>
      </c>
      <c r="Q15" s="60" t="str">
        <f t="array" ref="Q15">IF($B15="","",IFERROR(IF(INDEX('01_UngVien_PhongVan'!$P:$P,MATCH($B15,'01_UngVien_PhongVan'!$B:$B,0))=0,"",INDEX('01_UngVien_PhongVan'!$P:$P,MATCH($B15,'01_UngVien_PhongVan'!$B:$B,0))),""))</f>
        <v>Võ Thị Mộng Điệp</v>
      </c>
      <c r="R15" s="60" t="str">
        <f t="array" ref="R15">IF($B15="","",IFERROR(IF(INDEX('01_UngVien_PhongVan'!$Q:$Q,MATCH($B15,'01_UngVien_PhongVan'!$B:$B,0))=0,"",INDEX('01_UngVien_PhongVan'!$Q:$Q,MATCH($B15,'01_UngVien_PhongVan'!$B:$B,0))),""))</f>
        <v>0908733944</v>
      </c>
      <c r="S15" s="60" t="str">
        <f t="array" ref="S15">IF($B15="","",IFERROR(IF(INDEX('01_UngVien_PhongVan'!$R:$R,MATCH($B15,'01_UngVien_PhongVan'!$B:$B,0))=0,"",INDEX('01_UngVien_PhongVan'!$R:$R,MATCH($B15,'01_UngVien_PhongVan'!$B:$B,0))),""))</f>
        <v>Thợ may</v>
      </c>
      <c r="T15" s="60">
        <f t="array" ref="T15">IF($B15="","",IFERROR(IF(INDEX('01_UngVien_PhongVan'!$U:$U,MATCH($B15,'01_UngVien_PhongVan'!$B:$B,0))=0,"",INDEX('01_UngVien_PhongVan'!$U:$U,MATCH($B15,'01_UngVien_PhongVan'!$B:$B,0))),""))</f>
      </c>
      <c r="U15" s="73">
        <f t="array" ref="U15">IF($B15="","",IFERROR(IF(INDEX('01_UngVien_PhongVan'!$C:$C,MATCH($B15,'01_UngVien_PhongVan'!$B:$B,0))=0,"",INDEX('01_UngVien_PhongVan'!$C:$C,MATCH($B15,'01_UngVien_PhongVan'!$B:$B,0))),""))</f>
        <v>46252</v>
      </c>
      <c r="V15" s="73">
        <f t="array" ref="V15">IF($B15="","",IFERROR(IF(INDEX('02_DS_Nhan_Viec'!$D:$D,MATCH($B15,'02_DS_Nhan_Viec'!$B:$B,0))=0,"",INDEX('02_DS_Nhan_Viec'!$D:$D,MATCH($B15,'02_DS_Nhan_Viec'!$B:$B,0))),""))</f>
        <v>46252</v>
      </c>
      <c r="W15" s="73">
        <f t="array" ref="W15">IF($B15="","",IFERROR(IF(INDEX('02_DS_Nhan_Viec'!$E:$E,MATCH($B15,'02_DS_Nhan_Viec'!$B:$B,0))=0,"",INDEX('02_DS_Nhan_Viec'!$E:$E,MATCH($B15,'02_DS_Nhan_Viec'!$B:$B,0))),""))</f>
        <v>46252</v>
      </c>
      <c r="X15" s="73">
        <f t="array" ref="X15">IF($C15="","",IFERROR(IF(INDEX('05_Theo_Doi_Gio_Cong_7_Ngay'!$P:$P,MATCH($C15,'05_Theo_Doi_Gio_Cong_7_Ngay'!$B:$B,0))=0,"",INDEX('05_Theo_Doi_Gio_Cong_7_Ngay'!$P:$P,MATCH($C15,'05_Theo_Doi_Gio_Cong_7_Ngay'!$B:$B,0))),""))</f>
        <v>46259</v>
      </c>
      <c r="Y15" s="60" t="str">
        <f t="array" ref="Y15">IF($C15="","",IFERROR(IF(INDEX('05_Theo_Doi_Gio_Cong_7_Ngay'!$M:$M,MATCH($C15,'05_Theo_Doi_Gio_Cong_7_Ngay'!$B:$B,0))=0,"",INDEX('05_Theo_Doi_Gio_Cong_7_Ngay'!$M:$M,MATCH($C15,'05_Theo_Doi_Gio_Cong_7_Ngay'!$B:$B,0))),""))</f>
        <v>❌ Không đạt chuẩn (quá hạn 11 ngày)</v>
      </c>
      <c r="Z15" s="60" t="str">
        <f t="array" ref="Z15">IF($C15="","",IFERROR(IF(INDEX('05_Theo_Doi_Gio_Cong_7_Ngay'!$Q:$Q,MATCH($C15,'05_Theo_Doi_Gio_Cong_7_Ngay'!$B:$B,0))=0,"",INDEX('05_Theo_Doi_Gio_Cong_7_Ngay'!$Q:$Q,MATCH($C15,'05_Theo_Doi_Gio_Cong_7_Ngay'!$B:$B,0))),""))</f>
        <v>❌ Không đủ điều kiện (quá hạn)</v>
      </c>
      <c r="AA15" s="60" t="str">
        <f t="array" ref="AA15">IF($B15="","",IFERROR(IF(INDEX('02_DS_Nhan_Viec'!$H:$H,MATCH($B15,'02_DS_Nhan_Viec'!$B:$B,0))=0,"",INDEX('02_DS_Nhan_Viec'!$H:$H,MATCH($B15,'02_DS_Nhan_Viec'!$B:$B,0))),""))</f>
        <v>Chuyền chặt</v>
      </c>
      <c r="AB15" s="60" t="str">
        <f t="array" ref="AB15">IF($B15="","",IFERROR(IF(INDEX('02_DS_Nhan_Viec'!$I:$I,MATCH($B15,'02_DS_Nhan_Viec'!$B:$B,0))=0,"",INDEX('02_DS_Nhan_Viec'!$I:$I,MATCH($B15,'02_DS_Nhan_Viec'!$B:$B,0))),""))</f>
        <v>Thợ chặt</v>
      </c>
      <c r="AC15" s="61" t="str">
        <f t="array" ref="AC15">IF($B15="","",IF($C15="","Đang theo dõi",IF(OR(ISNUMBER(SEARCH("Không đủ điều kiện",IFERROR(INDEX('05_Theo_Doi_Gio_Cong_7_Ngay'!$Q:$Q,MATCH($C15,'05_Theo_Doi_Gio_Cong_7_Ngay'!$B:$B,0)),""))),ISNUMBER(SEARCH("Đủ 7 ngày nhưng",IFERROR(INDEX('05_Theo_Doi_Gio_Cong_7_Ngay'!$Q:$Q,MATCH($C15,'05_Theo_Doi_Gio_Cong_7_Ngay'!$B:$B,0)),"")))),"Đã nghỉ",IF(AND(OR(ISNUMBER(SEARCH("Đủ điều kiện",IFERROR(INDEX('05_Theo_Doi_Gio_Cong_7_Ngay'!$Q:$Q,MATCH($C15,'05_Theo_Doi_Gio_Cong_7_Ngay'!$B:$B,0)),""))),ISNUMBER(SEARCH("Đã có số thẻ",IFERROR(INDEX('05_Theo_Doi_Gio_Cong_7_Ngay'!$Q:$Q,MATCH($C15,'05_Theo_Doi_Gio_Cong_7_Ngay'!$B:$B,0)),"")))),IFERROR(INDEX('05_Theo_Doi_Gio_Cong_7_Ngay'!$R:$R,MATCH($C15,'05_Theo_Doi_Gio_Cong_7_Ngay'!$B:$B,0)),"")&lt;&gt;""),IFERROR(INDEX('06_DS_Chinh_Thuc'!$K:$K,MATCH(IFERROR(INDEX('05_Theo_Doi_Gio_Cong_7_Ngay'!$R:$R,MATCH($C15,'05_Theo_Doi_Gio_Cong_7_Ngay'!$B:$B,0)),""),'06_DS_Chinh_Thuc'!$B:$B,0)),"Đang theo dõi"),"Đang theo dõi"))))</f>
        <v>Đã nghỉ</v>
      </c>
    </row>
    <row r="16" ht="39" customHeight="1" spans="1:29" x14ac:dyDescent="0.25">
      <c r="A16" s="52">
        <f t="shared" si="0"/>
        <v>15</v>
      </c>
      <c r="B16" s="52" t="str">
        <f t="array" ref="B16">IFERROR(INDEX('02_DS_Nhan_Viec'!$B:$B,MATCH(15,'02_DS_Nhan_Viec'!$M:$M,0)),"")</f>
        <v>UV0826-014</v>
      </c>
      <c r="C16" s="52" t="str">
        <f t="array" ref="C16">IF($B16="","",IFERROR(IF(INDEX('02_DS_Nhan_Viec'!$J:$J,MATCH($B16,'02_DS_Nhan_Viec'!$B:$B,0))=0,"",INDEX('02_DS_Nhan_Viec'!$J:$J,MATCH($B16,'02_DS_Nhan_Viec'!$B:$B,0))),""))</f>
        <v>NV015</v>
      </c>
      <c r="D16" s="52">
        <f t="array" ref="D16">IF($C16="","",IFERROR(IF(INDEX('05_Theo_Doi_Gio_Cong_7_Ngay'!$R:$R,MATCH($C16,'05_Theo_Doi_Gio_Cong_7_Ngay'!$B:$B,0))=0,"",INDEX('05_Theo_Doi_Gio_Cong_7_Ngay'!$R:$R,MATCH($C16,'05_Theo_Doi_Gio_Cong_7_Ngay'!$B:$B,0))),""))</f>
        <v>496</v>
      </c>
      <c r="E16" s="60" t="str">
        <f t="array" ref="E16">IF($B16="","",IFERROR(IF(INDEX('01_UngVien_PhongVan'!$D:$D,MATCH($B16,'01_UngVien_PhongVan'!$B:$B,0))=0,"",INDEX('01_UngVien_PhongVan'!$D:$D,MATCH($B16,'01_UngVien_PhongVan'!$B:$B,0))),""))</f>
        <v>Phan Văn Cánh</v>
      </c>
      <c r="F16" s="52" t="str">
        <f t="array" ref="F16">IF($B16="","",IFERROR(IF(INDEX('01_UngVien_PhongVan'!$F:$F,MATCH($B16,'01_UngVien_PhongVan'!$B:$B,0))=0,"",INDEX('01_UngVien_PhongVan'!$F:$F,MATCH($B16,'01_UngVien_PhongVan'!$B:$B,0))),""))</f>
        <v>Nam</v>
      </c>
      <c r="G16" s="72">
        <f t="array" ref="G16">IF($B16="","",IFERROR(IF(INDEX('01_UngVien_PhongVan'!$G:$G,MATCH($B16,'01_UngVien_PhongVan'!$B:$B,0))=0,"",INDEX('01_UngVien_PhongVan'!$G:$G,MATCH($B16,'01_UngVien_PhongVan'!$B:$B,0))),""))</f>
        <v>1982</v>
      </c>
      <c r="H16" s="52">
        <f t="array" ref="H16">IF($B16="","",IFERROR(IF(INDEX('01_UngVien_PhongVan'!$H:$H,MATCH($B16,'01_UngVien_PhongVan'!$B:$B,0))=0,"",INDEX('01_UngVien_PhongVan'!$H:$H,MATCH($B16,'01_UngVien_PhongVan'!$B:$B,0))),""))</f>
      </c>
      <c r="I16" s="60">
        <f t="array" ref="I16">IF($B16="","",IFERROR(IF(INDEX('01_UngVien_PhongVan'!$I:$I,MATCH($B16,'01_UngVien_PhongVan'!$B:$B,0))=0,"",INDEX('01_UngVien_PhongVan'!$I:$I,MATCH($B16,'01_UngVien_PhongVan'!$B:$B,0))),""))</f>
      </c>
      <c r="J16" s="60">
        <f t="array" ref="J16">IF($B16="","",IFERROR(IF(INDEX('01_UngVien_PhongVan'!$J:$J,MATCH($B16,'01_UngVien_PhongVan'!$B:$B,0))=0,"",INDEX('01_UngVien_PhongVan'!$J:$J,MATCH($B16,'01_UngVien_PhongVan'!$B:$B,0))),""))</f>
      </c>
      <c r="K16" s="73">
        <f t="array" ref="K16">IF($B16="","",IFERROR(IF(INDEX('01_UngVien_PhongVan'!$K:$K,MATCH($B16,'01_UngVien_PhongVan'!$B:$B,0))=0,"",INDEX('01_UngVien_PhongVan'!$K:$K,MATCH($B16,'01_UngVien_PhongVan'!$B:$B,0))),""))</f>
      </c>
      <c r="L16" s="60">
        <f t="array" ref="L16">IF($B16="","",IFERROR(IF(INDEX('01_UngVien_PhongVan'!$L:$L,MATCH($B16,'01_UngVien_PhongVan'!$B:$B,0))=0,"",INDEX('01_UngVien_PhongVan'!$L:$L,MATCH($B16,'01_UngVien_PhongVan'!$B:$B,0))),""))</f>
      </c>
      <c r="M16" s="60" t="str">
        <f t="array" ref="M16">IF($B16="","",IFERROR(IF(INDEX('01_UngVien_PhongVan'!$E:$E,MATCH($B16,'01_UngVien_PhongVan'!$B:$B,0))=0,"",INDEX('01_UngVien_PhongVan'!$E:$E,MATCH($B16,'01_UngVien_PhongVan'!$B:$B,0))),""))</f>
        <v>0868143000</v>
      </c>
      <c r="N16" s="60" t="str">
        <f t="array" ref="N16">IF($B16="","",IFERROR(IF(INDEX('01_UngVien_PhongVan'!$M:$M,MATCH($B16,'01_UngVien_PhongVan'!$B:$B,0))=0,"",INDEX('01_UngVien_PhongVan'!$M:$M,MATCH($B16,'01_UngVien_PhongVan'!$B:$B,0))),""))</f>
        <v>C14/429B Tổ 14, Ấp 3, Tân Nhựt, Bình Chánh, TP.HCM</v>
      </c>
      <c r="O16" s="60" t="str">
        <f t="array" ref="O16">IF($B16="","",IFERROR(IF(INDEX('01_UngVien_PhongVan'!$N:$N,MATCH($B16,'01_UngVien_PhongVan'!$B:$B,0))=0,"",INDEX('01_UngVien_PhongVan'!$N:$N,MATCH($B16,'01_UngVien_PhongVan'!$B:$B,0))),""))</f>
        <v>C14/429B Tổ 14, Ấp 3, Tân Nhựt, Bình Chánh, TP.HCM</v>
      </c>
      <c r="P16" s="60" t="str">
        <f t="array" ref="P16">IF($B16="","",IFERROR(IF(INDEX('01_UngVien_PhongVan'!$O:$O,MATCH($B16,'01_UngVien_PhongVan'!$B:$B,0))=0,"",INDEX('01_UngVien_PhongVan'!$O:$O,MATCH($B16,'01_UngVien_PhongVan'!$B:$B,0))),""))</f>
        <v>8/12</v>
      </c>
      <c r="Q16" s="60" t="str">
        <f t="array" ref="Q16">IF($B16="","",IFERROR(IF(INDEX('01_UngVien_PhongVan'!$P:$P,MATCH($B16,'01_UngVien_PhongVan'!$B:$B,0))=0,"",INDEX('01_UngVien_PhongVan'!$P:$P,MATCH($B16,'01_UngVien_PhongVan'!$B:$B,0))),""))</f>
        <v>Nguyễn Văn Hào</v>
      </c>
      <c r="R16" s="60" t="str">
        <f t="array" ref="R16">IF($B16="","",IFERROR(IF(INDEX('01_UngVien_PhongVan'!$Q:$Q,MATCH($B16,'01_UngVien_PhongVan'!$B:$B,0))=0,"",INDEX('01_UngVien_PhongVan'!$Q:$Q,MATCH($B16,'01_UngVien_PhongVan'!$B:$B,0))),""))</f>
        <v>0986572536</v>
      </c>
      <c r="S16" s="60" t="str">
        <f t="array" ref="S16">IF($B16="","",IFERROR(IF(INDEX('01_UngVien_PhongVan'!$R:$R,MATCH($B16,'01_UngVien_PhongVan'!$B:$B,0))=0,"",INDEX('01_UngVien_PhongVan'!$R:$R,MATCH($B16,'01_UngVien_PhongVan'!$B:$B,0))),""))</f>
        <v>Tổ trưởng</v>
      </c>
      <c r="T16" s="60">
        <f t="array" ref="T16">IF($B16="","",IFERROR(IF(INDEX('01_UngVien_PhongVan'!$U:$U,MATCH($B16,'01_UngVien_PhongVan'!$B:$B,0))=0,"",INDEX('01_UngVien_PhongVan'!$U:$U,MATCH($B16,'01_UngVien_PhongVan'!$B:$B,0))),""))</f>
      </c>
      <c r="U16" s="73">
        <f t="array" ref="U16">IF($B16="","",IFERROR(IF(INDEX('01_UngVien_PhongVan'!$C:$C,MATCH($B16,'01_UngVien_PhongVan'!$B:$B,0))=0,"",INDEX('01_UngVien_PhongVan'!$C:$C,MATCH($B16,'01_UngVien_PhongVan'!$B:$B,0))),""))</f>
        <v>46255</v>
      </c>
      <c r="V16" s="73">
        <f t="array" ref="V16">IF($B16="","",IFERROR(IF(INDEX('02_DS_Nhan_Viec'!$D:$D,MATCH($B16,'02_DS_Nhan_Viec'!$B:$B,0))=0,"",INDEX('02_DS_Nhan_Viec'!$D:$D,MATCH($B16,'02_DS_Nhan_Viec'!$B:$B,0))),""))</f>
        <v>46256</v>
      </c>
      <c r="W16" s="73">
        <f t="array" ref="W16">IF($B16="","",IFERROR(IF(INDEX('02_DS_Nhan_Viec'!$E:$E,MATCH($B16,'02_DS_Nhan_Viec'!$B:$B,0))=0,"",INDEX('02_DS_Nhan_Viec'!$E:$E,MATCH($B16,'02_DS_Nhan_Viec'!$B:$B,0))),""))</f>
        <v>46256</v>
      </c>
      <c r="X16" s="73">
        <f t="array" ref="X16">IF($C16="","",IFERROR(IF(INDEX('05_Theo_Doi_Gio_Cong_7_Ngay'!$P:$P,MATCH($C16,'05_Theo_Doi_Gio_Cong_7_Ngay'!$B:$B,0))=0,"",INDEX('05_Theo_Doi_Gio_Cong_7_Ngay'!$P:$P,MATCH($C16,'05_Theo_Doi_Gio_Cong_7_Ngay'!$B:$B,0))),""))</f>
        <v>46263</v>
      </c>
      <c r="Y16" s="60" t="str">
        <f t="array" ref="Y16">IF($C16="","",IFERROR(IF(INDEX('05_Theo_Doi_Gio_Cong_7_Ngay'!$M:$M,MATCH($C16,'05_Theo_Doi_Gio_Cong_7_Ngay'!$B:$B,0))=0,"",INDEX('05_Theo_Doi_Gio_Cong_7_Ngay'!$M:$M,MATCH($C16,'05_Theo_Doi_Gio_Cong_7_Ngay'!$B:$B,0))),""))</f>
        <v>✅ ĐỦ 7 NGÀY - Đạt chuẩn</v>
      </c>
      <c r="Z16" s="60" t="str">
        <f t="array" ref="Z16">IF($C16="","",IFERROR(IF(INDEX('05_Theo_Doi_Gio_Cong_7_Ngay'!$Q:$Q,MATCH($C16,'05_Theo_Doi_Gio_Cong_7_Ngay'!$B:$B,0))=0,"",INDEX('05_Theo_Doi_Gio_Cong_7_Ngay'!$Q:$Q,MATCH($C16,'05_Theo_Doi_Gio_Cong_7_Ngay'!$B:$B,0))),""))</f>
        <v>✅ Đủ điều kiện - Đưa đi lấy dấu vân tay</v>
      </c>
      <c r="AA16" s="60">
        <f t="array" ref="AA16">IF($B16="","",IFERROR(IF(INDEX('02_DS_Nhan_Viec'!$H:$H,MATCH($B16,'02_DS_Nhan_Viec'!$B:$B,0))=0,"",INDEX('02_DS_Nhan_Viec'!$H:$H,MATCH($B16,'02_DS_Nhan_Viec'!$B:$B,0))),""))</f>
      </c>
      <c r="AB16" s="60">
        <f t="array" ref="AB16">IF($B16="","",IFERROR(IF(INDEX('02_DS_Nhan_Viec'!$I:$I,MATCH($B16,'02_DS_Nhan_Viec'!$B:$B,0))=0,"",INDEX('02_DS_Nhan_Viec'!$I:$I,MATCH($B16,'02_DS_Nhan_Viec'!$B:$B,0))),""))</f>
      </c>
      <c r="AC16" s="61" t="str">
        <f t="array" ref="AC16">IF($B16="","",IF($C16="","Đang theo dõi",IF(OR(ISNUMBER(SEARCH("Không đủ điều kiện",IFERROR(INDEX('05_Theo_Doi_Gio_Cong_7_Ngay'!$Q:$Q,MATCH($C16,'05_Theo_Doi_Gio_Cong_7_Ngay'!$B:$B,0)),""))),ISNUMBER(SEARCH("Đủ 7 ngày nhưng",IFERROR(INDEX('05_Theo_Doi_Gio_Cong_7_Ngay'!$Q:$Q,MATCH($C16,'05_Theo_Doi_Gio_Cong_7_Ngay'!$B:$B,0)),"")))),"Đã nghỉ",IF(AND(OR(ISNUMBER(SEARCH("Đủ điều kiện",IFERROR(INDEX('05_Theo_Doi_Gio_Cong_7_Ngay'!$Q:$Q,MATCH($C16,'05_Theo_Doi_Gio_Cong_7_Ngay'!$B:$B,0)),""))),ISNUMBER(SEARCH("Đã có số thẻ",IFERROR(INDEX('05_Theo_Doi_Gio_Cong_7_Ngay'!$Q:$Q,MATCH($C16,'05_Theo_Doi_Gio_Cong_7_Ngay'!$B:$B,0)),"")))),IFERROR(INDEX('05_Theo_Doi_Gio_Cong_7_Ngay'!$R:$R,MATCH($C16,'05_Theo_Doi_Gio_Cong_7_Ngay'!$B:$B,0)),"")&lt;&gt;""),IFERROR(INDEX('06_DS_Chinh_Thuc'!$K:$K,MATCH(IFERROR(INDEX('05_Theo_Doi_Gio_Cong_7_Ngay'!$R:$R,MATCH($C16,'05_Theo_Doi_Gio_Cong_7_Ngay'!$B:$B,0)),""),'06_DS_Chinh_Thuc'!$B:$B,0)),"Đang theo dõi"),"Đang theo dõi"))))</f>
        <v>Đã nghỉ</v>
      </c>
    </row>
    <row r="17" ht="39" customHeight="1" spans="1:29" x14ac:dyDescent="0.25">
      <c r="A17" s="52">
        <f t="shared" si="0"/>
        <v>16</v>
      </c>
      <c r="B17" s="52" t="str">
        <f t="array" ref="B17">IFERROR(INDEX('02_DS_Nhan_Viec'!$B:$B,MATCH(16,'02_DS_Nhan_Viec'!$M:$M,0)),"")</f>
        <v>UV0826-015</v>
      </c>
      <c r="C17" s="52" t="str">
        <f t="array" ref="C17">IF($B17="","",IFERROR(IF(INDEX('02_DS_Nhan_Viec'!$J:$J,MATCH($B17,'02_DS_Nhan_Viec'!$B:$B,0))=0,"",INDEX('02_DS_Nhan_Viec'!$J:$J,MATCH($B17,'02_DS_Nhan_Viec'!$B:$B,0))),""))</f>
        <v>NV016</v>
      </c>
      <c r="D17" s="52">
        <f t="array" ref="D17">IF($C17="","",IFERROR(IF(INDEX('05_Theo_Doi_Gio_Cong_7_Ngay'!$R:$R,MATCH($C17,'05_Theo_Doi_Gio_Cong_7_Ngay'!$B:$B,0))=0,"",INDEX('05_Theo_Doi_Gio_Cong_7_Ngay'!$R:$R,MATCH($C17,'05_Theo_Doi_Gio_Cong_7_Ngay'!$B:$B,0))),""))</f>
        <v>499</v>
      </c>
      <c r="E17" s="60" t="str">
        <f t="array" ref="E17">IF($B17="","",IFERROR(IF(INDEX('01_UngVien_PhongVan'!$D:$D,MATCH($B17,'01_UngVien_PhongVan'!$B:$B,0))=0,"",INDEX('01_UngVien_PhongVan'!$D:$D,MATCH($B17,'01_UngVien_PhongVan'!$B:$B,0))),""))</f>
        <v>Nguyễn Văn Nhơn</v>
      </c>
      <c r="F17" s="52" t="str">
        <f t="array" ref="F17">IF($B17="","",IFERROR(IF(INDEX('01_UngVien_PhongVan'!$F:$F,MATCH($B17,'01_UngVien_PhongVan'!$B:$B,0))=0,"",INDEX('01_UngVien_PhongVan'!$F:$F,MATCH($B17,'01_UngVien_PhongVan'!$B:$B,0))),""))</f>
        <v>Nam</v>
      </c>
      <c r="G17" s="72">
        <f t="array" ref="G17">IF($B17="","",IFERROR(IF(INDEX('01_UngVien_PhongVan'!$G:$G,MATCH($B17,'01_UngVien_PhongVan'!$B:$B,0))=0,"",INDEX('01_UngVien_PhongVan'!$G:$G,MATCH($B17,'01_UngVien_PhongVan'!$B:$B,0))),""))</f>
        <v>2003</v>
      </c>
      <c r="H17" s="52">
        <f t="array" ref="H17">IF($B17="","",IFERROR(IF(INDEX('01_UngVien_PhongVan'!$H:$H,MATCH($B17,'01_UngVien_PhongVan'!$B:$B,0))=0,"",INDEX('01_UngVien_PhongVan'!$H:$H,MATCH($B17,'01_UngVien_PhongVan'!$B:$B,0))),""))</f>
      </c>
      <c r="I17" s="60">
        <f t="array" ref="I17">IF($B17="","",IFERROR(IF(INDEX('01_UngVien_PhongVan'!$I:$I,MATCH($B17,'01_UngVien_PhongVan'!$B:$B,0))=0,"",INDEX('01_UngVien_PhongVan'!$I:$I,MATCH($B17,'01_UngVien_PhongVan'!$B:$B,0))),""))</f>
      </c>
      <c r="J17" s="60">
        <f t="array" ref="J17">IF($B17="","",IFERROR(IF(INDEX('01_UngVien_PhongVan'!$J:$J,MATCH($B17,'01_UngVien_PhongVan'!$B:$B,0))=0,"",INDEX('01_UngVien_PhongVan'!$J:$J,MATCH($B17,'01_UngVien_PhongVan'!$B:$B,0))),""))</f>
      </c>
      <c r="K17" s="73">
        <f t="array" ref="K17">IF($B17="","",IFERROR(IF(INDEX('01_UngVien_PhongVan'!$K:$K,MATCH($B17,'01_UngVien_PhongVan'!$B:$B,0))=0,"",INDEX('01_UngVien_PhongVan'!$K:$K,MATCH($B17,'01_UngVien_PhongVan'!$B:$B,0))),""))</f>
      </c>
      <c r="L17" s="60">
        <f t="array" ref="L17">IF($B17="","",IFERROR(IF(INDEX('01_UngVien_PhongVan'!$L:$L,MATCH($B17,'01_UngVien_PhongVan'!$B:$B,0))=0,"",INDEX('01_UngVien_PhongVan'!$L:$L,MATCH($B17,'01_UngVien_PhongVan'!$B:$B,0))),""))</f>
      </c>
      <c r="M17" s="60" t="str">
        <f t="array" ref="M17">IF($B17="","",IFERROR(IF(INDEX('01_UngVien_PhongVan'!$E:$E,MATCH($B17,'01_UngVien_PhongVan'!$B:$B,0))=0,"",INDEX('01_UngVien_PhongVan'!$E:$E,MATCH($B17,'01_UngVien_PhongVan'!$B:$B,0))),""))</f>
        <v>0399628997</v>
      </c>
      <c r="N17" s="60" t="str">
        <f t="array" ref="N17">IF($B17="","",IFERROR(IF(INDEX('01_UngVien_PhongVan'!$M:$M,MATCH($B17,'01_UngVien_PhongVan'!$B:$B,0))=0,"",INDEX('01_UngVien_PhongVan'!$M:$M,MATCH($B17,'01_UngVien_PhongVan'!$B:$B,0))),""))</f>
        <v>Phú Cần, Tiểu Cần, Trà Vinh</v>
      </c>
      <c r="O17" s="60" t="str">
        <f t="array" ref="O17">IF($B17="","",IFERROR(IF(INDEX('01_UngVien_PhongVan'!$N:$N,MATCH($B17,'01_UngVien_PhongVan'!$B:$B,0))=0,"",INDEX('01_UngVien_PhongVan'!$N:$N,MATCH($B17,'01_UngVien_PhongVan'!$B:$B,0))),""))</f>
        <v>A8/10, Đường Bông Văn Dĩa, Ấp 1, Tân Kiên, Bình Chánh</v>
      </c>
      <c r="P17" s="60" t="str">
        <f t="array" ref="P17">IF($B17="","",IFERROR(IF(INDEX('01_UngVien_PhongVan'!$O:$O,MATCH($B17,'01_UngVien_PhongVan'!$B:$B,0))=0,"",INDEX('01_UngVien_PhongVan'!$O:$O,MATCH($B17,'01_UngVien_PhongVan'!$B:$B,0))),""))</f>
        <v>3/12</v>
      </c>
      <c r="Q17" s="60" t="str">
        <f t="array" ref="Q17">IF($B17="","",IFERROR(IF(INDEX('01_UngVien_PhongVan'!$P:$P,MATCH($B17,'01_UngVien_PhongVan'!$B:$B,0))=0,"",INDEX('01_UngVien_PhongVan'!$P:$P,MATCH($B17,'01_UngVien_PhongVan'!$B:$B,0))),""))</f>
        <v>Nguyễn Văn Mến Em</v>
      </c>
      <c r="R17" s="60" t="str">
        <f t="array" ref="R17">IF($B17="","",IFERROR(IF(INDEX('01_UngVien_PhongVan'!$Q:$Q,MATCH($B17,'01_UngVien_PhongVan'!$B:$B,0))=0,"",INDEX('01_UngVien_PhongVan'!$Q:$Q,MATCH($B17,'01_UngVien_PhongVan'!$B:$B,0))),""))</f>
        <v>0382329792</v>
      </c>
      <c r="S17" s="60" t="str">
        <f t="array" ref="S17">IF($B17="","",IFERROR(IF(INDEX('01_UngVien_PhongVan'!$R:$R,MATCH($B17,'01_UngVien_PhongVan'!$B:$B,0))=0,"",INDEX('01_UngVien_PhongVan'!$R:$R,MATCH($B17,'01_UngVien_PhongVan'!$B:$B,0))),""))</f>
        <v>Giao nhận hàng</v>
      </c>
      <c r="T17" s="60">
        <f t="array" ref="T17">IF($B17="","",IFERROR(IF(INDEX('01_UngVien_PhongVan'!$U:$U,MATCH($B17,'01_UngVien_PhongVan'!$B:$B,0))=0,"",INDEX('01_UngVien_PhongVan'!$U:$U,MATCH($B17,'01_UngVien_PhongVan'!$B:$B,0))),""))</f>
      </c>
      <c r="U17" s="73">
        <f t="array" ref="U17">IF($B17="","",IFERROR(IF(INDEX('01_UngVien_PhongVan'!$C:$C,MATCH($B17,'01_UngVien_PhongVan'!$B:$B,0))=0,"",INDEX('01_UngVien_PhongVan'!$C:$C,MATCH($B17,'01_UngVien_PhongVan'!$B:$B,0))),""))</f>
        <v>46255</v>
      </c>
      <c r="V17" s="73">
        <f t="array" ref="V17">IF($B17="","",IFERROR(IF(INDEX('02_DS_Nhan_Viec'!$D:$D,MATCH($B17,'02_DS_Nhan_Viec'!$B:$B,0))=0,"",INDEX('02_DS_Nhan_Viec'!$D:$D,MATCH($B17,'02_DS_Nhan_Viec'!$B:$B,0))),""))</f>
        <v>46256</v>
      </c>
      <c r="W17" s="73">
        <f t="array" ref="W17">IF($B17="","",IFERROR(IF(INDEX('02_DS_Nhan_Viec'!$E:$E,MATCH($B17,'02_DS_Nhan_Viec'!$B:$B,0))=0,"",INDEX('02_DS_Nhan_Viec'!$E:$E,MATCH($B17,'02_DS_Nhan_Viec'!$B:$B,0))),""))</f>
        <v>46256</v>
      </c>
      <c r="X17" s="73">
        <f t="array" ref="X17">IF($C17="","",IFERROR(IF(INDEX('05_Theo_Doi_Gio_Cong_7_Ngay'!$P:$P,MATCH($C17,'05_Theo_Doi_Gio_Cong_7_Ngay'!$B:$B,0))=0,"",INDEX('05_Theo_Doi_Gio_Cong_7_Ngay'!$P:$P,MATCH($C17,'05_Theo_Doi_Gio_Cong_7_Ngay'!$B:$B,0))),""))</f>
        <v>46263</v>
      </c>
      <c r="Y17" s="60" t="str">
        <f t="array" ref="Y17">IF($C17="","",IFERROR(IF(INDEX('05_Theo_Doi_Gio_Cong_7_Ngay'!$M:$M,MATCH($C17,'05_Theo_Doi_Gio_Cong_7_Ngay'!$B:$B,0))=0,"",INDEX('05_Theo_Doi_Gio_Cong_7_Ngay'!$M:$M,MATCH($C17,'05_Theo_Doi_Gio_Cong_7_Ngay'!$B:$B,0))),""))</f>
        <v>✅ ĐỦ 7 NGÀY - Đạt chuẩn</v>
      </c>
      <c r="Z17" s="60" t="str">
        <f t="array" ref="Z17">IF($C17="","",IFERROR(IF(INDEX('05_Theo_Doi_Gio_Cong_7_Ngay'!$Q:$Q,MATCH($C17,'05_Theo_Doi_Gio_Cong_7_Ngay'!$B:$B,0))=0,"",INDEX('05_Theo_Doi_Gio_Cong_7_Ngay'!$Q:$Q,MATCH($C17,'05_Theo_Doi_Gio_Cong_7_Ngay'!$B:$B,0))),""))</f>
        <v>✅ Đủ điều kiện - Đưa đi lấy dấu vân tay</v>
      </c>
      <c r="AA17" s="60">
        <f t="array" ref="AA17">IF($B17="","",IFERROR(IF(INDEX('02_DS_Nhan_Viec'!$H:$H,MATCH($B17,'02_DS_Nhan_Viec'!$B:$B,0))=0,"",INDEX('02_DS_Nhan_Viec'!$H:$H,MATCH($B17,'02_DS_Nhan_Viec'!$B:$B,0))),""))</f>
      </c>
      <c r="AB17" s="60">
        <f t="array" ref="AB17">IF($B17="","",IFERROR(IF(INDEX('02_DS_Nhan_Viec'!$I:$I,MATCH($B17,'02_DS_Nhan_Viec'!$B:$B,0))=0,"",INDEX('02_DS_Nhan_Viec'!$I:$I,MATCH($B17,'02_DS_Nhan_Viec'!$B:$B,0))),""))</f>
      </c>
      <c r="AC17" s="61" t="str">
        <f t="array" ref="AC17">IF($B17="","",IF($C17="","Đang theo dõi",IF(OR(ISNUMBER(SEARCH("Không đủ điều kiện",IFERROR(INDEX('05_Theo_Doi_Gio_Cong_7_Ngay'!$Q:$Q,MATCH($C17,'05_Theo_Doi_Gio_Cong_7_Ngay'!$B:$B,0)),""))),ISNUMBER(SEARCH("Đủ 7 ngày nhưng",IFERROR(INDEX('05_Theo_Doi_Gio_Cong_7_Ngay'!$Q:$Q,MATCH($C17,'05_Theo_Doi_Gio_Cong_7_Ngay'!$B:$B,0)),"")))),"Đã nghỉ",IF(AND(OR(ISNUMBER(SEARCH("Đủ điều kiện",IFERROR(INDEX('05_Theo_Doi_Gio_Cong_7_Ngay'!$Q:$Q,MATCH($C17,'05_Theo_Doi_Gio_Cong_7_Ngay'!$B:$B,0)),""))),ISNUMBER(SEARCH("Đã có số thẻ",IFERROR(INDEX('05_Theo_Doi_Gio_Cong_7_Ngay'!$Q:$Q,MATCH($C17,'05_Theo_Doi_Gio_Cong_7_Ngay'!$B:$B,0)),"")))),IFERROR(INDEX('05_Theo_Doi_Gio_Cong_7_Ngay'!$R:$R,MATCH($C17,'05_Theo_Doi_Gio_Cong_7_Ngay'!$B:$B,0)),"")&lt;&gt;""),IFERROR(INDEX('06_DS_Chinh_Thuc'!$K:$K,MATCH(IFERROR(INDEX('05_Theo_Doi_Gio_Cong_7_Ngay'!$R:$R,MATCH($C17,'05_Theo_Doi_Gio_Cong_7_Ngay'!$B:$B,0)),""),'06_DS_Chinh_Thuc'!$B:$B,0)),"Đang theo dõi"),"Đang theo dõi"))))</f>
        <v>Đang làm</v>
      </c>
    </row>
    <row r="18" ht="39" customHeight="1" spans="1:29" x14ac:dyDescent="0.25">
      <c r="A18" s="52">
        <f t="shared" si="0"/>
        <v>17</v>
      </c>
      <c r="B18" s="52" t="str">
        <f t="array" ref="B18">IFERROR(INDEX('02_DS_Nhan_Viec'!$B:$B,MATCH(17,'02_DS_Nhan_Viec'!$M:$M,0)),"")</f>
        <v>UV0826-016</v>
      </c>
      <c r="C18" s="52" t="str">
        <f t="array" ref="C18">IF($B18="","",IFERROR(IF(INDEX('02_DS_Nhan_Viec'!$J:$J,MATCH($B18,'02_DS_Nhan_Viec'!$B:$B,0))=0,"",INDEX('02_DS_Nhan_Viec'!$J:$J,MATCH($B18,'02_DS_Nhan_Viec'!$B:$B,0))),""))</f>
        <v>NV017</v>
      </c>
      <c r="D18" s="52">
        <f t="array" ref="D18">IF($C18="","",IFERROR(IF(INDEX('05_Theo_Doi_Gio_Cong_7_Ngay'!$R:$R,MATCH($C18,'05_Theo_Doi_Gio_Cong_7_Ngay'!$B:$B,0))=0,"",INDEX('05_Theo_Doi_Gio_Cong_7_Ngay'!$R:$R,MATCH($C18,'05_Theo_Doi_Gio_Cong_7_Ngay'!$B:$B,0))),""))</f>
        <v>498</v>
      </c>
      <c r="E18" s="60" t="str">
        <f t="array" ref="E18">IF($B18="","",IFERROR(IF(INDEX('01_UngVien_PhongVan'!$D:$D,MATCH($B18,'01_UngVien_PhongVan'!$B:$B,0))=0,"",INDEX('01_UngVien_PhongVan'!$D:$D,MATCH($B18,'01_UngVien_PhongVan'!$B:$B,0))),""))</f>
        <v>Nguyễn Nam Phương</v>
      </c>
      <c r="F18" s="52" t="str">
        <f t="array" ref="F18">IF($B18="","",IFERROR(IF(INDEX('01_UngVien_PhongVan'!$F:$F,MATCH($B18,'01_UngVien_PhongVan'!$B:$B,0))=0,"",INDEX('01_UngVien_PhongVan'!$F:$F,MATCH($B18,'01_UngVien_PhongVan'!$B:$B,0))),""))</f>
        <v>Nam</v>
      </c>
      <c r="G18" s="72">
        <f t="array" ref="G18">IF($B18="","",IFERROR(IF(INDEX('01_UngVien_PhongVan'!$G:$G,MATCH($B18,'01_UngVien_PhongVan'!$B:$B,0))=0,"",INDEX('01_UngVien_PhongVan'!$G:$G,MATCH($B18,'01_UngVien_PhongVan'!$B:$B,0))),""))</f>
        <v>2009</v>
      </c>
      <c r="H18" s="52" t="str">
        <f t="array" ref="H18">IF($B18="","",IFERROR(IF(INDEX('01_UngVien_PhongVan'!$H:$H,MATCH($B18,'01_UngVien_PhongVan'!$B:$B,0))=0,"",INDEX('01_UngVien_PhongVan'!$H:$H,MATCH($B18,'01_UngVien_PhongVan'!$B:$B,0))),""))</f>
        <v>Kinh</v>
      </c>
      <c r="I18" s="60">
        <f t="array" ref="I18">IF($B18="","",IFERROR(IF(INDEX('01_UngVien_PhongVan'!$I:$I,MATCH($B18,'01_UngVien_PhongVan'!$B:$B,0))=0,"",INDEX('01_UngVien_PhongVan'!$I:$I,MATCH($B18,'01_UngVien_PhongVan'!$B:$B,0))),""))</f>
      </c>
      <c r="J18" s="60" t="str">
        <f t="array" ref="J18">IF($B18="","",IFERROR(IF(INDEX('01_UngVien_PhongVan'!$J:$J,MATCH($B18,'01_UngVien_PhongVan'!$B:$B,0))=0,"",INDEX('01_UngVien_PhongVan'!$J:$J,MATCH($B18,'01_UngVien_PhongVan'!$B:$B,0))),""))</f>
        <v>0753090069849</v>
      </c>
      <c r="K18" s="73">
        <f t="array" ref="K18">IF($B18="","",IFERROR(IF(INDEX('01_UngVien_PhongVan'!$K:$K,MATCH($B18,'01_UngVien_PhongVan'!$B:$B,0))=0,"",INDEX('01_UngVien_PhongVan'!$K:$K,MATCH($B18,'01_UngVien_PhongVan'!$B:$B,0))),""))</f>
        <v>46050</v>
      </c>
      <c r="L18" s="60" t="str">
        <f t="array" ref="L18">IF($B18="","",IFERROR(IF(INDEX('01_UngVien_PhongVan'!$L:$L,MATCH($B18,'01_UngVien_PhongVan'!$B:$B,0))=0,"",INDEX('01_UngVien_PhongVan'!$L:$L,MATCH($B18,'01_UngVien_PhongVan'!$B:$B,0))),""))</f>
        <v>Bộ Công An</v>
      </c>
      <c r="M18" s="60" t="str">
        <f t="array" ref="M18">IF($B18="","",IFERROR(IF(INDEX('01_UngVien_PhongVan'!$E:$E,MATCH($B18,'01_UngVien_PhongVan'!$B:$B,0))=0,"",INDEX('01_UngVien_PhongVan'!$E:$E,MATCH($B18,'01_UngVien_PhongVan'!$B:$B,0))),""))</f>
        <v>0379101756</v>
      </c>
      <c r="N18" s="60" t="str">
        <f t="array" ref="N18">IF($B18="","",IFERROR(IF(INDEX('01_UngVien_PhongVan'!$M:$M,MATCH($B18,'01_UngVien_PhongVan'!$B:$B,0))=0,"",INDEX('01_UngVien_PhongVan'!$M:$M,MATCH($B18,'01_UngVien_PhongVan'!$B:$B,0))),""))</f>
        <v>68/2B, KP Khánh Hưng, Trấn Biên, Đồng Nai</v>
      </c>
      <c r="O18" s="60" t="str">
        <f t="array" ref="O18">IF($B18="","",IFERROR(IF(INDEX('01_UngVien_PhongVan'!$N:$N,MATCH($B18,'01_UngVien_PhongVan'!$B:$B,0))=0,"",INDEX('01_UngVien_PhongVan'!$N:$N,MATCH($B18,'01_UngVien_PhongVan'!$B:$B,0))),""))</f>
        <v>A8/10, Đường Bông Văn Dĩa, Ấp 1, Tân Kiên, Bình Chánh</v>
      </c>
      <c r="P18" s="60" t="str">
        <f t="array" ref="P18">IF($B18="","",IFERROR(IF(INDEX('01_UngVien_PhongVan'!$O:$O,MATCH($B18,'01_UngVien_PhongVan'!$B:$B,0))=0,"",INDEX('01_UngVien_PhongVan'!$O:$O,MATCH($B18,'01_UngVien_PhongVan'!$B:$B,0))),""))</f>
        <v>9/12</v>
      </c>
      <c r="Q18" s="60" t="str">
        <f t="array" ref="Q18">IF($B18="","",IFERROR(IF(INDEX('01_UngVien_PhongVan'!$P:$P,MATCH($B18,'01_UngVien_PhongVan'!$B:$B,0))=0,"",INDEX('01_UngVien_PhongVan'!$P:$P,MATCH($B18,'01_UngVien_PhongVan'!$B:$B,0))),""))</f>
        <v>Nguyễn Văn Mến Em</v>
      </c>
      <c r="R18" s="60" t="str">
        <f t="array" ref="R18">IF($B18="","",IFERROR(IF(INDEX('01_UngVien_PhongVan'!$Q:$Q,MATCH($B18,'01_UngVien_PhongVan'!$B:$B,0))=0,"",INDEX('01_UngVien_PhongVan'!$Q:$Q,MATCH($B18,'01_UngVien_PhongVan'!$B:$B,0))),""))</f>
        <v>0382329792</v>
      </c>
      <c r="S18" s="60" t="str">
        <f t="array" ref="S18">IF($B18="","",IFERROR(IF(INDEX('01_UngVien_PhongVan'!$R:$R,MATCH($B18,'01_UngVien_PhongVan'!$B:$B,0))=0,"",INDEX('01_UngVien_PhongVan'!$R:$R,MATCH($B18,'01_UngVien_PhongVan'!$B:$B,0))),""))</f>
        <v>Đào tạo may</v>
      </c>
      <c r="T18" s="60">
        <f t="array" ref="T18">IF($B18="","",IFERROR(IF(INDEX('01_UngVien_PhongVan'!$U:$U,MATCH($B18,'01_UngVien_PhongVan'!$B:$B,0))=0,"",INDEX('01_UngVien_PhongVan'!$U:$U,MATCH($B18,'01_UngVien_PhongVan'!$B:$B,0))),""))</f>
      </c>
      <c r="U18" s="73">
        <f t="array" ref="U18">IF($B18="","",IFERROR(IF(INDEX('01_UngVien_PhongVan'!$C:$C,MATCH($B18,'01_UngVien_PhongVan'!$B:$B,0))=0,"",INDEX('01_UngVien_PhongVan'!$C:$C,MATCH($B18,'01_UngVien_PhongVan'!$B:$B,0))),""))</f>
        <v>46255</v>
      </c>
      <c r="V18" s="73">
        <f t="array" ref="V18">IF($B18="","",IFERROR(IF(INDEX('02_DS_Nhan_Viec'!$D:$D,MATCH($B18,'02_DS_Nhan_Viec'!$B:$B,0))=0,"",INDEX('02_DS_Nhan_Viec'!$D:$D,MATCH($B18,'02_DS_Nhan_Viec'!$B:$B,0))),""))</f>
        <v>46256</v>
      </c>
      <c r="W18" s="73">
        <f t="array" ref="W18">IF($B18="","",IFERROR(IF(INDEX('02_DS_Nhan_Viec'!$E:$E,MATCH($B18,'02_DS_Nhan_Viec'!$B:$B,0))=0,"",INDEX('02_DS_Nhan_Viec'!$E:$E,MATCH($B18,'02_DS_Nhan_Viec'!$B:$B,0))),""))</f>
        <v>46256</v>
      </c>
      <c r="X18" s="73">
        <f t="array" ref="X18">IF($C18="","",IFERROR(IF(INDEX('05_Theo_Doi_Gio_Cong_7_Ngay'!$P:$P,MATCH($C18,'05_Theo_Doi_Gio_Cong_7_Ngay'!$B:$B,0))=0,"",INDEX('05_Theo_Doi_Gio_Cong_7_Ngay'!$P:$P,MATCH($C18,'05_Theo_Doi_Gio_Cong_7_Ngay'!$B:$B,0))),""))</f>
        <v>46263</v>
      </c>
      <c r="Y18" s="60" t="str">
        <f t="array" ref="Y18">IF($C18="","",IFERROR(IF(INDEX('05_Theo_Doi_Gio_Cong_7_Ngay'!$M:$M,MATCH($C18,'05_Theo_Doi_Gio_Cong_7_Ngay'!$B:$B,0))=0,"",INDEX('05_Theo_Doi_Gio_Cong_7_Ngay'!$M:$M,MATCH($C18,'05_Theo_Doi_Gio_Cong_7_Ngay'!$B:$B,0))),""))</f>
        <v>❌ Không đạt chuẩn (quá hạn 7 ngày)</v>
      </c>
      <c r="Z18" s="60" t="str">
        <f t="array" ref="Z18">IF($C18="","",IFERROR(IF(INDEX('05_Theo_Doi_Gio_Cong_7_Ngay'!$Q:$Q,MATCH($C18,'05_Theo_Doi_Gio_Cong_7_Ngay'!$B:$B,0))=0,"",INDEX('05_Theo_Doi_Gio_Cong_7_Ngay'!$Q:$Q,MATCH($C18,'05_Theo_Doi_Gio_Cong_7_Ngay'!$B:$B,0))),""))</f>
        <v>❌ Không đủ điều kiện (quá hạn)</v>
      </c>
      <c r="AA18" s="60">
        <f t="array" ref="AA18">IF($B18="","",IFERROR(IF(INDEX('02_DS_Nhan_Viec'!$H:$H,MATCH($B18,'02_DS_Nhan_Viec'!$B:$B,0))=0,"",INDEX('02_DS_Nhan_Viec'!$H:$H,MATCH($B18,'02_DS_Nhan_Viec'!$B:$B,0))),""))</f>
      </c>
      <c r="AB18" s="60" t="str">
        <f t="array" ref="AB18">IF($B18="","",IFERROR(IF(INDEX('02_DS_Nhan_Viec'!$I:$I,MATCH($B18,'02_DS_Nhan_Viec'!$B:$B,0))=0,"",INDEX('02_DS_Nhan_Viec'!$I:$I,MATCH($B18,'02_DS_Nhan_Viec'!$B:$B,0))),""))</f>
        <v>May</v>
      </c>
      <c r="AC18" s="61" t="str">
        <f t="array" ref="AC18">IF($B18="","",IF($C18="","Đang theo dõi",IF(OR(ISNUMBER(SEARCH("Không đủ điều kiện",IFERROR(INDEX('05_Theo_Doi_Gio_Cong_7_Ngay'!$Q:$Q,MATCH($C18,'05_Theo_Doi_Gio_Cong_7_Ngay'!$B:$B,0)),""))),ISNUMBER(SEARCH("Đủ 7 ngày nhưng",IFERROR(INDEX('05_Theo_Doi_Gio_Cong_7_Ngay'!$Q:$Q,MATCH($C18,'05_Theo_Doi_Gio_Cong_7_Ngay'!$B:$B,0)),"")))),"Đã nghỉ",IF(AND(OR(ISNUMBER(SEARCH("Đủ điều kiện",IFERROR(INDEX('05_Theo_Doi_Gio_Cong_7_Ngay'!$Q:$Q,MATCH($C18,'05_Theo_Doi_Gio_Cong_7_Ngay'!$B:$B,0)),""))),ISNUMBER(SEARCH("Đã có số thẻ",IFERROR(INDEX('05_Theo_Doi_Gio_Cong_7_Ngay'!$Q:$Q,MATCH($C18,'05_Theo_Doi_Gio_Cong_7_Ngay'!$B:$B,0)),"")))),IFERROR(INDEX('05_Theo_Doi_Gio_Cong_7_Ngay'!$R:$R,MATCH($C18,'05_Theo_Doi_Gio_Cong_7_Ngay'!$B:$B,0)),"")&lt;&gt;""),IFERROR(INDEX('06_DS_Chinh_Thuc'!$K:$K,MATCH(IFERROR(INDEX('05_Theo_Doi_Gio_Cong_7_Ngay'!$R:$R,MATCH($C18,'05_Theo_Doi_Gio_Cong_7_Ngay'!$B:$B,0)),""),'06_DS_Chinh_Thuc'!$B:$B,0)),"Đang theo dõi"),"Đang theo dõi"))))</f>
        <v>Đã nghỉ</v>
      </c>
    </row>
    <row r="19" ht="26.25" customHeight="1" spans="1:29" x14ac:dyDescent="0.25">
      <c r="A19" s="52">
        <f t="shared" si="0"/>
        <v>18</v>
      </c>
      <c r="B19" s="52" t="str">
        <f t="array" ref="B19">IFERROR(INDEX('02_DS_Nhan_Viec'!$B:$B,MATCH(18,'02_DS_Nhan_Viec'!$M:$M,0)),"")</f>
        <v>UV0826-017</v>
      </c>
      <c r="C19" s="52" t="str">
        <f t="array" ref="C19">IF($B19="","",IFERROR(IF(INDEX('02_DS_Nhan_Viec'!$J:$J,MATCH($B19,'02_DS_Nhan_Viec'!$B:$B,0))=0,"",INDEX('02_DS_Nhan_Viec'!$J:$J,MATCH($B19,'02_DS_Nhan_Viec'!$B:$B,0))),""))</f>
        <v>NV018</v>
      </c>
      <c r="D19" s="52">
        <f t="array" ref="D19">IF($C19="","",IFERROR(IF(INDEX('05_Theo_Doi_Gio_Cong_7_Ngay'!$R:$R,MATCH($C19,'05_Theo_Doi_Gio_Cong_7_Ngay'!$B:$B,0))=0,"",INDEX('05_Theo_Doi_Gio_Cong_7_Ngay'!$R:$R,MATCH($C19,'05_Theo_Doi_Gio_Cong_7_Ngay'!$B:$B,0))),""))</f>
        <v>497</v>
      </c>
      <c r="E19" s="60" t="str">
        <f t="array" ref="E19">IF($B19="","",IFERROR(IF(INDEX('01_UngVien_PhongVan'!$D:$D,MATCH($B19,'01_UngVien_PhongVan'!$B:$B,0))=0,"",INDEX('01_UngVien_PhongVan'!$D:$D,MATCH($B19,'01_UngVien_PhongVan'!$B:$B,0))),""))</f>
        <v>Thạch Thị Trúc Xuân</v>
      </c>
      <c r="F19" s="52" t="str">
        <f t="array" ref="F19">IF($B19="","",IFERROR(IF(INDEX('01_UngVien_PhongVan'!$F:$F,MATCH($B19,'01_UngVien_PhongVan'!$B:$B,0))=0,"",INDEX('01_UngVien_PhongVan'!$F:$F,MATCH($B19,'01_UngVien_PhongVan'!$B:$B,0))),""))</f>
        <v>Nữ</v>
      </c>
      <c r="G19" s="72">
        <f t="array" ref="G19">IF($B19="","",IFERROR(IF(INDEX('01_UngVien_PhongVan'!$G:$G,MATCH($B19,'01_UngVien_PhongVan'!$B:$B,0))=0,"",INDEX('01_UngVien_PhongVan'!$G:$G,MATCH($B19,'01_UngVien_PhongVan'!$B:$B,0))),""))</f>
        <v>2015</v>
      </c>
      <c r="H19" s="52" t="str">
        <f t="array" ref="H19">IF($B19="","",IFERROR(IF(INDEX('01_UngVien_PhongVan'!$H:$H,MATCH($B19,'01_UngVien_PhongVan'!$B:$B,0))=0,"",INDEX('01_UngVien_PhongVan'!$H:$H,MATCH($B19,'01_UngVien_PhongVan'!$B:$B,0))),""))</f>
        <v>Kinh</v>
      </c>
      <c r="I19" s="60">
        <f t="array" ref="I19">IF($B19="","",IFERROR(IF(INDEX('01_UngVien_PhongVan'!$I:$I,MATCH($B19,'01_UngVien_PhongVan'!$B:$B,0))=0,"",INDEX('01_UngVien_PhongVan'!$I:$I,MATCH($B19,'01_UngVien_PhongVan'!$B:$B,0))),""))</f>
      </c>
      <c r="J19" s="60">
        <f t="array" ref="J19">IF($B19="","",IFERROR(IF(INDEX('01_UngVien_PhongVan'!$J:$J,MATCH($B19,'01_UngVien_PhongVan'!$B:$B,0))=0,"",INDEX('01_UngVien_PhongVan'!$J:$J,MATCH($B19,'01_UngVien_PhongVan'!$B:$B,0))),""))</f>
      </c>
      <c r="K19" s="73">
        <f t="array" ref="K19">IF($B19="","",IFERROR(IF(INDEX('01_UngVien_PhongVan'!$K:$K,MATCH($B19,'01_UngVien_PhongVan'!$B:$B,0))=0,"",INDEX('01_UngVien_PhongVan'!$K:$K,MATCH($B19,'01_UngVien_PhongVan'!$B:$B,0))),""))</f>
      </c>
      <c r="L19" s="60">
        <f t="array" ref="L19">IF($B19="","",IFERROR(IF(INDEX('01_UngVien_PhongVan'!$L:$L,MATCH($B19,'01_UngVien_PhongVan'!$B:$B,0))=0,"",INDEX('01_UngVien_PhongVan'!$L:$L,MATCH($B19,'01_UngVien_PhongVan'!$B:$B,0))),""))</f>
      </c>
      <c r="M19" s="60" t="str">
        <f t="array" ref="M19">IF($B19="","",IFERROR(IF(INDEX('01_UngVien_PhongVan'!$E:$E,MATCH($B19,'01_UngVien_PhongVan'!$B:$B,0))=0,"",INDEX('01_UngVien_PhongVan'!$E:$E,MATCH($B19,'01_UngVien_PhongVan'!$B:$B,0))),""))</f>
        <v>0348107667</v>
      </c>
      <c r="N19" s="60" t="str">
        <f t="array" ref="N19">IF($B19="","",IFERROR(IF(INDEX('01_UngVien_PhongVan'!$M:$M,MATCH($B19,'01_UngVien_PhongVan'!$B:$B,0))=0,"",INDEX('01_UngVien_PhongVan'!$M:$M,MATCH($B19,'01_UngVien_PhongVan'!$B:$B,0))),""))</f>
        <v>A8/10, Đường Bông Văn Dĩa, Ấp 1, Tân Kiên, Bình Chánh</v>
      </c>
      <c r="O19" s="60">
        <f t="array" ref="O19">IF($B19="","",IFERROR(IF(INDEX('01_UngVien_PhongVan'!$N:$N,MATCH($B19,'01_UngVien_PhongVan'!$B:$B,0))=0,"",INDEX('01_UngVien_PhongVan'!$N:$N,MATCH($B19,'01_UngVien_PhongVan'!$B:$B,0))),""))</f>
      </c>
      <c r="P19" s="60">
        <f t="array" ref="P19">IF($B19="","",IFERROR(IF(INDEX('01_UngVien_PhongVan'!$O:$O,MATCH($B19,'01_UngVien_PhongVan'!$B:$B,0))=0,"",INDEX('01_UngVien_PhongVan'!$O:$O,MATCH($B19,'01_UngVien_PhongVan'!$B:$B,0))),""))</f>
      </c>
      <c r="Q19" s="60" t="str">
        <f t="array" ref="Q19">IF($B19="","",IFERROR(IF(INDEX('01_UngVien_PhongVan'!$P:$P,MATCH($B19,'01_UngVien_PhongVan'!$B:$B,0))=0,"",INDEX('01_UngVien_PhongVan'!$P:$P,MATCH($B19,'01_UngVien_PhongVan'!$B:$B,0))),""))</f>
        <v>Nguyễn Văn Mến Em</v>
      </c>
      <c r="R19" s="60" t="str">
        <f t="array" ref="R19">IF($B19="","",IFERROR(IF(INDEX('01_UngVien_PhongVan'!$Q:$Q,MATCH($B19,'01_UngVien_PhongVan'!$B:$B,0))=0,"",INDEX('01_UngVien_PhongVan'!$Q:$Q,MATCH($B19,'01_UngVien_PhongVan'!$B:$B,0))),""))</f>
        <v>0382329792</v>
      </c>
      <c r="S19" s="60" t="str">
        <f t="array" ref="S19">IF($B19="","",IFERROR(IF(INDEX('01_UngVien_PhongVan'!$R:$R,MATCH($B19,'01_UngVien_PhongVan'!$B:$B,0))=0,"",INDEX('01_UngVien_PhongVan'!$R:$R,MATCH($B19,'01_UngVien_PhongVan'!$B:$B,0))),""))</f>
        <v>Học việc</v>
      </c>
      <c r="T19" s="60">
        <f t="array" ref="T19">IF($B19="","",IFERROR(IF(INDEX('01_UngVien_PhongVan'!$U:$U,MATCH($B19,'01_UngVien_PhongVan'!$B:$B,0))=0,"",INDEX('01_UngVien_PhongVan'!$U:$U,MATCH($B19,'01_UngVien_PhongVan'!$B:$B,0))),""))</f>
      </c>
      <c r="U19" s="73">
        <f t="array" ref="U19">IF($B19="","",IFERROR(IF(INDEX('01_UngVien_PhongVan'!$C:$C,MATCH($B19,'01_UngVien_PhongVan'!$B:$B,0))=0,"",INDEX('01_UngVien_PhongVan'!$C:$C,MATCH($B19,'01_UngVien_PhongVan'!$B:$B,0))),""))</f>
        <v>46255</v>
      </c>
      <c r="V19" s="73">
        <f t="array" ref="V19">IF($B19="","",IFERROR(IF(INDEX('02_DS_Nhan_Viec'!$D:$D,MATCH($B19,'02_DS_Nhan_Viec'!$B:$B,0))=0,"",INDEX('02_DS_Nhan_Viec'!$D:$D,MATCH($B19,'02_DS_Nhan_Viec'!$B:$B,0))),""))</f>
        <v>46256</v>
      </c>
      <c r="W19" s="73">
        <f t="array" ref="W19">IF($B19="","",IFERROR(IF(INDEX('02_DS_Nhan_Viec'!$E:$E,MATCH($B19,'02_DS_Nhan_Viec'!$B:$B,0))=0,"",INDEX('02_DS_Nhan_Viec'!$E:$E,MATCH($B19,'02_DS_Nhan_Viec'!$B:$B,0))),""))</f>
        <v>46256</v>
      </c>
      <c r="X19" s="73">
        <f t="array" ref="X19">IF($C19="","",IFERROR(IF(INDEX('05_Theo_Doi_Gio_Cong_7_Ngay'!$P:$P,MATCH($C19,'05_Theo_Doi_Gio_Cong_7_Ngay'!$B:$B,0))=0,"",INDEX('05_Theo_Doi_Gio_Cong_7_Ngay'!$P:$P,MATCH($C19,'05_Theo_Doi_Gio_Cong_7_Ngay'!$B:$B,0))),""))</f>
        <v>46263</v>
      </c>
      <c r="Y19" s="60" t="str">
        <f t="array" ref="Y19">IF($C19="","",IFERROR(IF(INDEX('05_Theo_Doi_Gio_Cong_7_Ngay'!$M:$M,MATCH($C19,'05_Theo_Doi_Gio_Cong_7_Ngay'!$B:$B,0))=0,"",INDEX('05_Theo_Doi_Gio_Cong_7_Ngay'!$M:$M,MATCH($C19,'05_Theo_Doi_Gio_Cong_7_Ngay'!$B:$B,0))),""))</f>
        <v>❌ Không đạt chuẩn (quá hạn 7 ngày)</v>
      </c>
      <c r="Z19" s="60" t="str">
        <f t="array" ref="Z19">IF($C19="","",IFERROR(IF(INDEX('05_Theo_Doi_Gio_Cong_7_Ngay'!$Q:$Q,MATCH($C19,'05_Theo_Doi_Gio_Cong_7_Ngay'!$B:$B,0))=0,"",INDEX('05_Theo_Doi_Gio_Cong_7_Ngay'!$Q:$Q,MATCH($C19,'05_Theo_Doi_Gio_Cong_7_Ngay'!$B:$B,0))),""))</f>
        <v>❌ Không đủ điều kiện (quá hạn)</v>
      </c>
      <c r="AA19" s="60">
        <f t="array" ref="AA19">IF($B19="","",IFERROR(IF(INDEX('02_DS_Nhan_Viec'!$H:$H,MATCH($B19,'02_DS_Nhan_Viec'!$B:$B,0))=0,"",INDEX('02_DS_Nhan_Viec'!$H:$H,MATCH($B19,'02_DS_Nhan_Viec'!$B:$B,0))),""))</f>
      </c>
      <c r="AB19" s="60">
        <f t="array" ref="AB19">IF($B19="","",IFERROR(IF(INDEX('02_DS_Nhan_Viec'!$I:$I,MATCH($B19,'02_DS_Nhan_Viec'!$B:$B,0))=0,"",INDEX('02_DS_Nhan_Viec'!$I:$I,MATCH($B19,'02_DS_Nhan_Viec'!$B:$B,0))),""))</f>
      </c>
      <c r="AC19" s="61" t="str">
        <f t="array" ref="AC19">IF($B19="","",IF($C19="","Đang theo dõi",IF(OR(ISNUMBER(SEARCH("Không đủ điều kiện",IFERROR(INDEX('05_Theo_Doi_Gio_Cong_7_Ngay'!$Q:$Q,MATCH($C19,'05_Theo_Doi_Gio_Cong_7_Ngay'!$B:$B,0)),""))),ISNUMBER(SEARCH("Đủ 7 ngày nhưng",IFERROR(INDEX('05_Theo_Doi_Gio_Cong_7_Ngay'!$Q:$Q,MATCH($C19,'05_Theo_Doi_Gio_Cong_7_Ngay'!$B:$B,0)),"")))),"Đã nghỉ",IF(AND(OR(ISNUMBER(SEARCH("Đủ điều kiện",IFERROR(INDEX('05_Theo_Doi_Gio_Cong_7_Ngay'!$Q:$Q,MATCH($C19,'05_Theo_Doi_Gio_Cong_7_Ngay'!$B:$B,0)),""))),ISNUMBER(SEARCH("Đã có số thẻ",IFERROR(INDEX('05_Theo_Doi_Gio_Cong_7_Ngay'!$Q:$Q,MATCH($C19,'05_Theo_Doi_Gio_Cong_7_Ngay'!$B:$B,0)),"")))),IFERROR(INDEX('05_Theo_Doi_Gio_Cong_7_Ngay'!$R:$R,MATCH($C19,'05_Theo_Doi_Gio_Cong_7_Ngay'!$B:$B,0)),"")&lt;&gt;""),IFERROR(INDEX('06_DS_Chinh_Thuc'!$K:$K,MATCH(IFERROR(INDEX('05_Theo_Doi_Gio_Cong_7_Ngay'!$R:$R,MATCH($C19,'05_Theo_Doi_Gio_Cong_7_Ngay'!$B:$B,0)),""),'06_DS_Chinh_Thuc'!$B:$B,0)),"Đang theo dõi"),"Đang theo dõi"))))</f>
        <v>Đã nghỉ</v>
      </c>
    </row>
    <row r="20" ht="14.25" customHeight="1" spans="1:29" x14ac:dyDescent="0.25">
      <c r="A20" s="52">
        <f t="shared" si="0"/>
        <v>19</v>
      </c>
      <c r="B20" s="52" t="str">
        <f t="array" ref="B20">IFERROR(INDEX('02_DS_Nhan_Viec'!$B:$B,MATCH(19,'02_DS_Nhan_Viec'!$M:$M,0)),"")</f>
        <v>UV0826-023</v>
      </c>
      <c r="C20" s="52" t="str">
        <f t="array" ref="C20">IF($B20="","",IFERROR(IF(INDEX('02_DS_Nhan_Viec'!$J:$J,MATCH($B20,'02_DS_Nhan_Viec'!$B:$B,0))=0,"",INDEX('02_DS_Nhan_Viec'!$J:$J,MATCH($B20,'02_DS_Nhan_Viec'!$B:$B,0))),""))</f>
        <v>NV019</v>
      </c>
      <c r="D20" s="52">
        <f t="array" ref="D20">IF($C20="","",IFERROR(IF(INDEX('05_Theo_Doi_Gio_Cong_7_Ngay'!$R:$R,MATCH($C20,'05_Theo_Doi_Gio_Cong_7_Ngay'!$B:$B,0))=0,"",INDEX('05_Theo_Doi_Gio_Cong_7_Ngay'!$R:$R,MATCH($C20,'05_Theo_Doi_Gio_Cong_7_Ngay'!$B:$B,0))),""))</f>
      </c>
      <c r="E20" s="60" t="str">
        <f t="array" ref="E20">IF($B20="","",IFERROR(IF(INDEX('01_UngVien_PhongVan'!$D:$D,MATCH($B20,'01_UngVien_PhongVan'!$B:$B,0))=0,"",INDEX('01_UngVien_PhongVan'!$D:$D,MATCH($B20,'01_UngVien_PhongVan'!$B:$B,0))),""))</f>
        <v>Nguyễn Văn Triết</v>
      </c>
      <c r="F20" s="52" t="str">
        <f t="array" ref="F20">IF($B20="","",IFERROR(IF(INDEX('01_UngVien_PhongVan'!$F:$F,MATCH($B20,'01_UngVien_PhongVan'!$B:$B,0))=0,"",INDEX('01_UngVien_PhongVan'!$F:$F,MATCH($B20,'01_UngVien_PhongVan'!$B:$B,0))),""))</f>
        <v>Nam</v>
      </c>
      <c r="G20" s="72">
        <f t="array" ref="G20">IF($B20="","",IFERROR(IF(INDEX('01_UngVien_PhongVan'!$G:$G,MATCH($B20,'01_UngVien_PhongVan'!$B:$B,0))=0,"",INDEX('01_UngVien_PhongVan'!$G:$G,MATCH($B20,'01_UngVien_PhongVan'!$B:$B,0))),""))</f>
        <v>2001</v>
      </c>
      <c r="H20" s="52" t="str">
        <f t="array" ref="H20">IF($B20="","",IFERROR(IF(INDEX('01_UngVien_PhongVan'!$H:$H,MATCH($B20,'01_UngVien_PhongVan'!$B:$B,0))=0,"",INDEX('01_UngVien_PhongVan'!$H:$H,MATCH($B20,'01_UngVien_PhongVan'!$B:$B,0))),""))</f>
        <v>Kinh</v>
      </c>
      <c r="I20" s="60" t="str">
        <f t="array" ref="I20">IF($B20="","",IFERROR(IF(INDEX('01_UngVien_PhongVan'!$I:$I,MATCH($B20,'01_UngVien_PhongVan'!$B:$B,0))=0,"",INDEX('01_UngVien_PhongVan'!$I:$I,MATCH($B20,'01_UngVien_PhongVan'!$B:$B,0))),""))</f>
        <v>Đã kết hôn</v>
      </c>
      <c r="J20" s="60" t="str">
        <f t="array" ref="J20">IF($B20="","",IFERROR(IF(INDEX('01_UngVien_PhongVan'!$J:$J,MATCH($B20,'01_UngVien_PhongVan'!$B:$B,0))=0,"",INDEX('01_UngVien_PhongVan'!$J:$J,MATCH($B20,'01_UngVien_PhongVan'!$B:$B,0))),""))</f>
        <v>087201014415</v>
      </c>
      <c r="K20" s="73">
        <f t="array" ref="K20">IF($B20="","",IFERROR(IF(INDEX('01_UngVien_PhongVan'!$K:$K,MATCH($B20,'01_UngVien_PhongVan'!$B:$B,0))=0,"",INDEX('01_UngVien_PhongVan'!$K:$K,MATCH($B20,'01_UngVien_PhongVan'!$B:$B,0))),""))</f>
        <v>46179</v>
      </c>
      <c r="L20" s="60" t="str">
        <f t="array" ref="L20">IF($B20="","",IFERROR(IF(INDEX('01_UngVien_PhongVan'!$L:$L,MATCH($B20,'01_UngVien_PhongVan'!$B:$B,0))=0,"",INDEX('01_UngVien_PhongVan'!$L:$L,MATCH($B20,'01_UngVien_PhongVan'!$B:$B,0))),""))</f>
        <v>Bộ Công An</v>
      </c>
      <c r="M20" s="60" t="str">
        <f t="array" ref="M20">IF($B20="","",IFERROR(IF(INDEX('01_UngVien_PhongVan'!$E:$E,MATCH($B20,'01_UngVien_PhongVan'!$B:$B,0))=0,"",INDEX('01_UngVien_PhongVan'!$E:$E,MATCH($B20,'01_UngVien_PhongVan'!$B:$B,0))),""))</f>
        <v>0966726098</v>
      </c>
      <c r="N20" s="60" t="str">
        <f t="array" ref="N20">IF($B20="","",IFERROR(IF(INDEX('01_UngVien_PhongVan'!$M:$M,MATCH($B20,'01_UngVien_PhongVan'!$B:$B,0))=0,"",INDEX('01_UngVien_PhongVan'!$M:$M,MATCH($B20,'01_UngVien_PhongVan'!$B:$B,0))),""))</f>
        <v>283a, ấp Phú Thọ, An Long Đồng Tháp</v>
      </c>
      <c r="O20" s="60" t="str">
        <f t="array" ref="O20">IF($B20="","",IFERROR(IF(INDEX('01_UngVien_PhongVan'!$N:$N,MATCH($B20,'01_UngVien_PhongVan'!$B:$B,0))=0,"",INDEX('01_UngVien_PhongVan'!$N:$N,MATCH($B20,'01_UngVien_PhongVan'!$B:$B,0))),""))</f>
        <v>1132/20, tỉnh lộ 10, Tân Tạo, TPHCM</v>
      </c>
      <c r="P20" s="60" t="str">
        <f t="array" ref="P20">IF($B20="","",IFERROR(IF(INDEX('01_UngVien_PhongVan'!$O:$O,MATCH($B20,'01_UngVien_PhongVan'!$B:$B,0))=0,"",INDEX('01_UngVien_PhongVan'!$O:$O,MATCH($B20,'01_UngVien_PhongVan'!$B:$B,0))),""))</f>
        <v>6/12</v>
      </c>
      <c r="Q20" s="60" t="str">
        <f t="array" ref="Q20">IF($B20="","",IFERROR(IF(INDEX('01_UngVien_PhongVan'!$P:$P,MATCH($B20,'01_UngVien_PhongVan'!$B:$B,0))=0,"",INDEX('01_UngVien_PhongVan'!$P:$P,MATCH($B20,'01_UngVien_PhongVan'!$B:$B,0))),""))</f>
        <v>Trần Thị Thuỳ</v>
      </c>
      <c r="R20" s="60" t="str">
        <f t="array" ref="R20">IF($B20="","",IFERROR(IF(INDEX('01_UngVien_PhongVan'!$Q:$Q,MATCH($B20,'01_UngVien_PhongVan'!$B:$B,0))=0,"",INDEX('01_UngVien_PhongVan'!$Q:$Q,MATCH($B20,'01_UngVien_PhongVan'!$B:$B,0))),""))</f>
        <v>0384992650</v>
      </c>
      <c r="S20" s="60" t="str">
        <f t="array" ref="S20">IF($B20="","",IFERROR(IF(INDEX('01_UngVien_PhongVan'!$R:$R,MATCH($B20,'01_UngVien_PhongVan'!$B:$B,0))=0,"",INDEX('01_UngVien_PhongVan'!$R:$R,MATCH($B20,'01_UngVien_PhongVan'!$B:$B,0))),""))</f>
        <v>Chặt</v>
      </c>
      <c r="T20" s="60">
        <f t="array" ref="T20">IF($B20="","",IFERROR(IF(INDEX('01_UngVien_PhongVan'!$U:$U,MATCH($B20,'01_UngVien_PhongVan'!$B:$B,0))=0,"",INDEX('01_UngVien_PhongVan'!$U:$U,MATCH($B20,'01_UngVien_PhongVan'!$B:$B,0))),""))</f>
      </c>
      <c r="U20" s="73">
        <f t="array" ref="U20">IF($B20="","",IFERROR(IF(INDEX('01_UngVien_PhongVan'!$C:$C,MATCH($B20,'01_UngVien_PhongVan'!$B:$B,0))=0,"",INDEX('01_UngVien_PhongVan'!$C:$C,MATCH($B20,'01_UngVien_PhongVan'!$B:$B,0))),""))</f>
        <v>46262</v>
      </c>
      <c r="V20" s="73">
        <f t="array" ref="V20">IF($B20="","",IFERROR(IF(INDEX('02_DS_Nhan_Viec'!$D:$D,MATCH($B20,'02_DS_Nhan_Viec'!$B:$B,0))=0,"",INDEX('02_DS_Nhan_Viec'!$D:$D,MATCH($B20,'02_DS_Nhan_Viec'!$B:$B,0))),""))</f>
        <v>46268</v>
      </c>
      <c r="W20" s="73">
        <f t="array" ref="W20">IF($B20="","",IFERROR(IF(INDEX('02_DS_Nhan_Viec'!$E:$E,MATCH($B20,'02_DS_Nhan_Viec'!$B:$B,0))=0,"",INDEX('02_DS_Nhan_Viec'!$E:$E,MATCH($B20,'02_DS_Nhan_Viec'!$B:$B,0))),""))</f>
        <v>46268</v>
      </c>
      <c r="X20" s="73">
        <f t="array" ref="X20">IF($C20="","",IFERROR(IF(INDEX('05_Theo_Doi_Gio_Cong_7_Ngay'!$P:$P,MATCH($C20,'05_Theo_Doi_Gio_Cong_7_Ngay'!$B:$B,0))=0,"",INDEX('05_Theo_Doi_Gio_Cong_7_Ngay'!$P:$P,MATCH($C20,'05_Theo_Doi_Gio_Cong_7_Ngay'!$B:$B,0))),""))</f>
        <v>46275</v>
      </c>
      <c r="Y20" s="60" t="str">
        <f t="array" ref="Y20">IF($C20="","",IFERROR(IF(INDEX('05_Theo_Doi_Gio_Cong_7_Ngay'!$M:$M,MATCH($C20,'05_Theo_Doi_Gio_Cong_7_Ngay'!$B:$B,0))=0,"",INDEX('05_Theo_Doi_Gio_Cong_7_Ngay'!$M:$M,MATCH($C20,'05_Theo_Doi_Gio_Cong_7_Ngay'!$B:$B,0))),""))</f>
        <v>⏳ Đang theo dõi (0/7 ngày đã nhập)</v>
      </c>
      <c r="Z20" s="60" t="str">
        <f t="array" ref="Z20">IF($C20="","",IFERROR(IF(INDEX('05_Theo_Doi_Gio_Cong_7_Ngay'!$Q:$Q,MATCH($C20,'05_Theo_Doi_Gio_Cong_7_Ngay'!$B:$B,0))=0,"",INDEX('05_Theo_Doi_Gio_Cong_7_Ngay'!$Q:$Q,MATCH($C20,'05_Theo_Doi_Gio_Cong_7_Ngay'!$B:$B,0))),""))</f>
        <v>⏳ Chưa đủ 7 ngày (0/7)</v>
      </c>
      <c r="AA20" s="60">
        <f t="array" ref="AA20">IF($B20="","",IFERROR(IF(INDEX('02_DS_Nhan_Viec'!$H:$H,MATCH($B20,'02_DS_Nhan_Viec'!$B:$B,0))=0,"",INDEX('02_DS_Nhan_Viec'!$H:$H,MATCH($B20,'02_DS_Nhan_Viec'!$B:$B,0))),""))</f>
      </c>
      <c r="AB20" s="60">
        <f t="array" ref="AB20">IF($B20="","",IFERROR(IF(INDEX('02_DS_Nhan_Viec'!$I:$I,MATCH($B20,'02_DS_Nhan_Viec'!$B:$B,0))=0,"",INDEX('02_DS_Nhan_Viec'!$I:$I,MATCH($B20,'02_DS_Nhan_Viec'!$B:$B,0))),""))</f>
      </c>
      <c r="AC20" s="61" t="str">
        <f t="array" ref="AC20">IF($B20="","",IF($C20="","Đang theo dõi",IF(OR(IFERROR(INDEX('05_Theo_Doi_Gio_Cong_7_Ngay'!$R:$R,MATCH($C20,'05_Theo_Doi_Gio_Cong_7_Ngay'!$B:$B,0)),"")="",IFERROR(INDEX('05_Theo_Doi_Gio_Cong_7_Ngay'!$R:$R,MATCH($C20,'05_Theo_Doi_Gio_Cong_7_Ngay'!$B:$B,0)),0)=0),"Đang theo dõi",IFERROR(INDEX('06_DS_Chinh_Thuc'!$K:$K,MATCH(IFERROR(INDEX('05_Theo_Doi_Gio_Cong_7_Ngay'!$R:$R,MATCH($C20,'05_Theo_Doi_Gio_Cong_7_Ngay'!$B:$B,0)),0),'06_DS_Chinh_Thuc'!$B:$B,0)),"Đang theo dõi"))))</f>
        <v>Đang theo dõi</v>
      </c>
    </row>
    <row r="21" ht="14.25" customHeight="1" spans="1:29" x14ac:dyDescent="0.25">
      <c r="A21" s="52">
        <f t="shared" si="0"/>
        <v>20</v>
      </c>
      <c r="B21" s="52" t="str">
        <f t="array" ref="B21">IFERROR(INDEX('02_DS_Nhan_Viec'!$B:$B,MATCH(20,'02_DS_Nhan_Viec'!$M:$M,0)),"")</f>
        <v>UV0826-024</v>
      </c>
      <c r="C21" s="52" t="str">
        <f t="array" ref="C21">IF($B21="","",IFERROR(IF(INDEX('02_DS_Nhan_Viec'!$J:$J,MATCH($B21,'02_DS_Nhan_Viec'!$B:$B,0))=0,"",INDEX('02_DS_Nhan_Viec'!$J:$J,MATCH($B21,'02_DS_Nhan_Viec'!$B:$B,0))),""))</f>
        <v>NV020</v>
      </c>
      <c r="D21" s="52">
        <f t="array" ref="D21">IF($C21="","",IFERROR(IF(INDEX('05_Theo_Doi_Gio_Cong_7_Ngay'!$R:$R,MATCH($C21,'05_Theo_Doi_Gio_Cong_7_Ngay'!$B:$B,0))=0,"",INDEX('05_Theo_Doi_Gio_Cong_7_Ngay'!$R:$R,MATCH($C21,'05_Theo_Doi_Gio_Cong_7_Ngay'!$B:$B,0))),""))</f>
      </c>
      <c r="E21" s="60" t="str">
        <f t="array" ref="E21">IF($B21="","",IFERROR(IF(INDEX('01_UngVien_PhongVan'!$D:$D,MATCH($B21,'01_UngVien_PhongVan'!$B:$B,0))=0,"",INDEX('01_UngVien_PhongVan'!$D:$D,MATCH($B21,'01_UngVien_PhongVan'!$B:$B,0))),""))</f>
        <v>Trần Thị Thuỳ</v>
      </c>
      <c r="F21" s="52" t="str">
        <f t="array" ref="F21">IF($B21="","",IFERROR(IF(INDEX('01_UngVien_PhongVan'!$F:$F,MATCH($B21,'01_UngVien_PhongVan'!$B:$B,0))=0,"",INDEX('01_UngVien_PhongVan'!$F:$F,MATCH($B21,'01_UngVien_PhongVan'!$B:$B,0))),""))</f>
        <v>Nữ</v>
      </c>
      <c r="G21" s="72">
        <f t="array" ref="G21">IF($B21="","",IFERROR(IF(INDEX('01_UngVien_PhongVan'!$G:$G,MATCH($B21,'01_UngVien_PhongVan'!$B:$B,0))=0,"",INDEX('01_UngVien_PhongVan'!$G:$G,MATCH($B21,'01_UngVien_PhongVan'!$B:$B,0))),""))</f>
        <v>2000</v>
      </c>
      <c r="H21" s="52" t="str">
        <f t="array" ref="H21">IF($B21="","",IFERROR(IF(INDEX('01_UngVien_PhongVan'!$H:$H,MATCH($B21,'01_UngVien_PhongVan'!$B:$B,0))=0,"",INDEX('01_UngVien_PhongVan'!$H:$H,MATCH($B21,'01_UngVien_PhongVan'!$B:$B,0))),""))</f>
        <v>Kinh</v>
      </c>
      <c r="I21" s="60" t="str">
        <f t="array" ref="I21">IF($B21="","",IFERROR(IF(INDEX('01_UngVien_PhongVan'!$I:$I,MATCH($B21,'01_UngVien_PhongVan'!$B:$B,0))=0,"",INDEX('01_UngVien_PhongVan'!$I:$I,MATCH($B21,'01_UngVien_PhongVan'!$B:$B,0))),""))</f>
        <v>Đã kết hôn</v>
      </c>
      <c r="J21" s="60" t="str">
        <f t="array" ref="J21">IF($B21="","",IFERROR(IF(INDEX('01_UngVien_PhongVan'!$J:$J,MATCH($B21,'01_UngVien_PhongVan'!$B:$B,0))=0,"",INDEX('01_UngVien_PhongVan'!$J:$J,MATCH($B21,'01_UngVien_PhongVan'!$B:$B,0))),""))</f>
        <v>089300015945</v>
      </c>
      <c r="K21" s="73">
        <f t="array" ref="K21">IF($B21="","",IFERROR(IF(INDEX('01_UngVien_PhongVan'!$K:$K,MATCH($B21,'01_UngVien_PhongVan'!$B:$B,0))=0,"",INDEX('01_UngVien_PhongVan'!$K:$K,MATCH($B21,'01_UngVien_PhongVan'!$B:$B,0))),""))</f>
        <v>46180</v>
      </c>
      <c r="L21" s="60" t="str">
        <f t="array" ref="L21">IF($B21="","",IFERROR(IF(INDEX('01_UngVien_PhongVan'!$L:$L,MATCH($B21,'01_UngVien_PhongVan'!$B:$B,0))=0,"",INDEX('01_UngVien_PhongVan'!$L:$L,MATCH($B21,'01_UngVien_PhongVan'!$B:$B,0))),""))</f>
        <v>Bộ Công An</v>
      </c>
      <c r="M21" s="60" t="str">
        <f t="array" ref="M21">IF($B21="","",IFERROR(IF(INDEX('01_UngVien_PhongVan'!$E:$E,MATCH($B21,'01_UngVien_PhongVan'!$B:$B,0))=0,"",INDEX('01_UngVien_PhongVan'!$E:$E,MATCH($B21,'01_UngVien_PhongVan'!$B:$B,0))),""))</f>
        <v>0384992650</v>
      </c>
      <c r="N21" s="60" t="str">
        <f t="array" ref="N21">IF($B21="","",IFERROR(IF(INDEX('01_UngVien_PhongVan'!$M:$M,MATCH($B21,'01_UngVien_PhongVan'!$B:$B,0))=0,"",INDEX('01_UngVien_PhongVan'!$M:$M,MATCH($B21,'01_UngVien_PhongVan'!$B:$B,0))),""))</f>
        <v>Tổ 3, ấp Vĩnh Tường 1, Châu Phong, Tân Châu, An Giang</v>
      </c>
      <c r="O21" s="60" t="str">
        <f t="array" ref="O21">IF($B21="","",IFERROR(IF(INDEX('01_UngVien_PhongVan'!$N:$N,MATCH($B21,'01_UngVien_PhongVan'!$B:$B,0))=0,"",INDEX('01_UngVien_PhongVan'!$N:$N,MATCH($B21,'01_UngVien_PhongVan'!$B:$B,0))),""))</f>
        <v>1132/20, tỉnh lộ 10, Tân Tạo, TPHCM</v>
      </c>
      <c r="P21" s="60" t="str">
        <f t="array" ref="P21">IF($B21="","",IFERROR(IF(INDEX('01_UngVien_PhongVan'!$O:$O,MATCH($B21,'01_UngVien_PhongVan'!$B:$B,0))=0,"",INDEX('01_UngVien_PhongVan'!$O:$O,MATCH($B21,'01_UngVien_PhongVan'!$B:$B,0))),""))</f>
        <v>7/12</v>
      </c>
      <c r="Q21" s="60" t="str">
        <f t="array" ref="Q21">IF($B21="","",IFERROR(IF(INDEX('01_UngVien_PhongVan'!$P:$P,MATCH($B21,'01_UngVien_PhongVan'!$B:$B,0))=0,"",INDEX('01_UngVien_PhongVan'!$P:$P,MATCH($B21,'01_UngVien_PhongVan'!$B:$B,0))),""))</f>
        <v>Nguyễn Văn Triết</v>
      </c>
      <c r="R21" s="60" t="str">
        <f t="array" ref="R21">IF($B21="","",IFERROR(IF(INDEX('01_UngVien_PhongVan'!$Q:$Q,MATCH($B21,'01_UngVien_PhongVan'!$B:$B,0))=0,"",INDEX('01_UngVien_PhongVan'!$Q:$Q,MATCH($B21,'01_UngVien_PhongVan'!$B:$B,0))),""))</f>
        <v>0966726098</v>
      </c>
      <c r="S21" s="60" t="str">
        <f t="array" ref="S21">IF($B21="","",IFERROR(IF(INDEX('01_UngVien_PhongVan'!$R:$R,MATCH($B21,'01_UngVien_PhongVan'!$B:$B,0))=0,"",INDEX('01_UngVien_PhongVan'!$R:$R,MATCH($B21,'01_UngVien_PhongVan'!$B:$B,0))),""))</f>
        <v>Thợ thủ công</v>
      </c>
      <c r="T21" s="60">
        <f t="array" ref="T21">IF($B21="","",IFERROR(IF(INDEX('01_UngVien_PhongVan'!$U:$U,MATCH($B21,'01_UngVien_PhongVan'!$B:$B,0))=0,"",INDEX('01_UngVien_PhongVan'!$U:$U,MATCH($B21,'01_UngVien_PhongVan'!$B:$B,0))),""))</f>
      </c>
      <c r="U21" s="73">
        <f t="array" ref="U21">IF($B21="","",IFERROR(IF(INDEX('01_UngVien_PhongVan'!$C:$C,MATCH($B21,'01_UngVien_PhongVan'!$B:$B,0))=0,"",INDEX('01_UngVien_PhongVan'!$C:$C,MATCH($B21,'01_UngVien_PhongVan'!$B:$B,0))),""))</f>
        <v>46262</v>
      </c>
      <c r="V21" s="73">
        <f t="array" ref="V21">IF($B21="","",IFERROR(IF(INDEX('02_DS_Nhan_Viec'!$D:$D,MATCH($B21,'02_DS_Nhan_Viec'!$B:$B,0))=0,"",INDEX('02_DS_Nhan_Viec'!$D:$D,MATCH($B21,'02_DS_Nhan_Viec'!$B:$B,0))),""))</f>
        <v>46268</v>
      </c>
      <c r="W21" s="73">
        <f t="array" ref="W21">IF($B21="","",IFERROR(IF(INDEX('02_DS_Nhan_Viec'!$E:$E,MATCH($B21,'02_DS_Nhan_Viec'!$B:$B,0))=0,"",INDEX('02_DS_Nhan_Viec'!$E:$E,MATCH($B21,'02_DS_Nhan_Viec'!$B:$B,0))),""))</f>
        <v>46268</v>
      </c>
      <c r="X21" s="73">
        <f t="array" ref="X21">IF($C21="","",IFERROR(IF(INDEX('05_Theo_Doi_Gio_Cong_7_Ngay'!$P:$P,MATCH($C21,'05_Theo_Doi_Gio_Cong_7_Ngay'!$B:$B,0))=0,"",INDEX('05_Theo_Doi_Gio_Cong_7_Ngay'!$P:$P,MATCH($C21,'05_Theo_Doi_Gio_Cong_7_Ngay'!$B:$B,0))),""))</f>
        <v>46275</v>
      </c>
      <c r="Y21" s="60" t="str">
        <f t="array" ref="Y21">IF($C21="","",IFERROR(IF(INDEX('05_Theo_Doi_Gio_Cong_7_Ngay'!$M:$M,MATCH($C21,'05_Theo_Doi_Gio_Cong_7_Ngay'!$B:$B,0))=0,"",INDEX('05_Theo_Doi_Gio_Cong_7_Ngay'!$M:$M,MATCH($C21,'05_Theo_Doi_Gio_Cong_7_Ngay'!$B:$B,0))),""))</f>
        <v>⏳ Đang theo dõi (0/7 ngày đã nhập)</v>
      </c>
      <c r="Z21" s="60" t="str">
        <f t="array" ref="Z21">IF($C21="","",IFERROR(IF(INDEX('05_Theo_Doi_Gio_Cong_7_Ngay'!$Q:$Q,MATCH($C21,'05_Theo_Doi_Gio_Cong_7_Ngay'!$B:$B,0))=0,"",INDEX('05_Theo_Doi_Gio_Cong_7_Ngay'!$Q:$Q,MATCH($C21,'05_Theo_Doi_Gio_Cong_7_Ngay'!$B:$B,0))),""))</f>
        <v>⏳ Chưa đủ 7 ngày (0/7)</v>
      </c>
      <c r="AA21" s="60">
        <f t="array" ref="AA21">IF($B21="","",IFERROR(IF(INDEX('02_DS_Nhan_Viec'!$H:$H,MATCH($B21,'02_DS_Nhan_Viec'!$B:$B,0))=0,"",INDEX('02_DS_Nhan_Viec'!$H:$H,MATCH($B21,'02_DS_Nhan_Viec'!$B:$B,0))),""))</f>
      </c>
      <c r="AB21" s="60">
        <f t="array" ref="AB21">IF($B21="","",IFERROR(IF(INDEX('02_DS_Nhan_Viec'!$I:$I,MATCH($B21,'02_DS_Nhan_Viec'!$B:$B,0))=0,"",INDEX('02_DS_Nhan_Viec'!$I:$I,MATCH($B21,'02_DS_Nhan_Viec'!$B:$B,0))),""))</f>
      </c>
      <c r="AC21" s="61" t="str">
        <f t="array" ref="AC21">IF($B21="","",IF($C21="","Đang theo dõi",IF(OR(IFERROR(INDEX('05_Theo_Doi_Gio_Cong_7_Ngay'!$R:$R,MATCH($C21,'05_Theo_Doi_Gio_Cong_7_Ngay'!$B:$B,0)),"")="",IFERROR(INDEX('05_Theo_Doi_Gio_Cong_7_Ngay'!$R:$R,MATCH($C21,'05_Theo_Doi_Gio_Cong_7_Ngay'!$B:$B,0)),0)=0),"Đang theo dõi",IFERROR(INDEX('06_DS_Chinh_Thuc'!$K:$K,MATCH(IFERROR(INDEX('05_Theo_Doi_Gio_Cong_7_Ngay'!$R:$R,MATCH($C21,'05_Theo_Doi_Gio_Cong_7_Ngay'!$B:$B,0)),0),'06_DS_Chinh_Thuc'!$B:$B,0)),"Đang theo dõi"))))</f>
        <v>Đang theo dõi</v>
      </c>
    </row>
    <row r="22" ht="14.25" customHeight="1" spans="1:29" x14ac:dyDescent="0.25">
      <c r="A22" s="52">
        <f t="shared" si="0"/>
        <v>21</v>
      </c>
      <c r="B22" s="52" t="str">
        <f t="array" ref="B22">IFERROR(INDEX('02_DS_Nhan_Viec'!$B:$B,MATCH(21,'02_DS_Nhan_Viec'!$M:$M,0)),"")</f>
        <v>UV0926-001</v>
      </c>
      <c r="C22" s="52" t="str">
        <f t="array" ref="C22">IF($B22="","",IFERROR(IF(INDEX('02_DS_Nhan_Viec'!$J:$J,MATCH($B22,'02_DS_Nhan_Viec'!$B:$B,0))=0,"",INDEX('02_DS_Nhan_Viec'!$J:$J,MATCH($B22,'02_DS_Nhan_Viec'!$B:$B,0))),""))</f>
        <v>NV021</v>
      </c>
      <c r="D22" s="52">
        <f t="array" ref="D22">IF($C22="","",IFERROR(IF(INDEX('05_Theo_Doi_Gio_Cong_7_Ngay'!$R:$R,MATCH($C22,'05_Theo_Doi_Gio_Cong_7_Ngay'!$B:$B,0))=0,"",INDEX('05_Theo_Doi_Gio_Cong_7_Ngay'!$R:$R,MATCH($C22,'05_Theo_Doi_Gio_Cong_7_Ngay'!$B:$B,0))),""))</f>
      </c>
      <c r="E22" s="60" t="str">
        <f t="array" ref="E22">IF($B22="","",IFERROR(IF(INDEX('01_UngVien_PhongVan'!$D:$D,MATCH($B22,'01_UngVien_PhongVan'!$B:$B,0))=0,"",INDEX('01_UngVien_PhongVan'!$D:$D,MATCH($B22,'01_UngVien_PhongVan'!$B:$B,0))),""))</f>
        <v>Nguyễn Tuyết Ngân</v>
      </c>
      <c r="F22" s="52" t="str">
        <f t="array" ref="F22">IF($B22="","",IFERROR(IF(INDEX('01_UngVien_PhongVan'!$F:$F,MATCH($B22,'01_UngVien_PhongVan'!$B:$B,0))=0,"",INDEX('01_UngVien_PhongVan'!$F:$F,MATCH($B22,'01_UngVien_PhongVan'!$B:$B,0))),""))</f>
        <v>Nữ</v>
      </c>
      <c r="G22" s="72">
        <f t="array" ref="G22">IF($B22="","",IFERROR(IF(INDEX('01_UngVien_PhongVan'!$G:$G,MATCH($B22,'01_UngVien_PhongVan'!$B:$B,0))=0,"",INDEX('01_UngVien_PhongVan'!$G:$G,MATCH($B22,'01_UngVien_PhongVan'!$B:$B,0))),""))</f>
        <v>1991</v>
      </c>
      <c r="H22" s="52" t="str">
        <f t="array" ref="H22">IF($B22="","",IFERROR(IF(INDEX('01_UngVien_PhongVan'!$H:$H,MATCH($B22,'01_UngVien_PhongVan'!$B:$B,0))=0,"",INDEX('01_UngVien_PhongVan'!$H:$H,MATCH($B22,'01_UngVien_PhongVan'!$B:$B,0))),""))</f>
        <v>Kinh</v>
      </c>
      <c r="I22" s="60" t="str">
        <f t="array" ref="I22">IF($B22="","",IFERROR(IF(INDEX('01_UngVien_PhongVan'!$I:$I,MATCH($B22,'01_UngVien_PhongVan'!$B:$B,0))=0,"",INDEX('01_UngVien_PhongVan'!$I:$I,MATCH($B22,'01_UngVien_PhongVan'!$B:$B,0))),""))</f>
        <v>Đã kết hôn</v>
      </c>
      <c r="J22" s="60" t="str">
        <f t="array" ref="J22">IF($B22="","",IFERROR(IF(INDEX('01_UngVien_PhongVan'!$J:$J,MATCH($B22,'01_UngVien_PhongVan'!$B:$B,0))=0,"",INDEX('01_UngVien_PhongVan'!$J:$J,MATCH($B22,'01_UngVien_PhongVan'!$B:$B,0))),""))</f>
        <v>079191028394</v>
      </c>
      <c r="K22" s="73">
        <f t="array" ref="K22">IF($B22="","",IFERROR(IF(INDEX('01_UngVien_PhongVan'!$K:$K,MATCH($B22,'01_UngVien_PhongVan'!$B:$B,0))=0,"",INDEX('01_UngVien_PhongVan'!$K:$K,MATCH($B22,'01_UngVien_PhongVan'!$B:$B,0))),""))</f>
        <v>44387</v>
      </c>
      <c r="L22" s="60" t="str">
        <f t="array" ref="L22">IF($B22="","",IFERROR(IF(INDEX('01_UngVien_PhongVan'!$L:$L,MATCH($B22,'01_UngVien_PhongVan'!$B:$B,0))=0,"",INDEX('01_UngVien_PhongVan'!$L:$L,MATCH($B22,'01_UngVien_PhongVan'!$B:$B,0))),""))</f>
        <v>Công an TP.HCM</v>
      </c>
      <c r="M22" s="60" t="str">
        <f t="array" ref="M22">IF($B22="","",IFERROR(IF(INDEX('01_UngVien_PhongVan'!$E:$E,MATCH($B22,'01_UngVien_PhongVan'!$B:$B,0))=0,"",INDEX('01_UngVien_PhongVan'!$E:$E,MATCH($B22,'01_UngVien_PhongVan'!$B:$B,0))),""))</f>
        <v>0909002256</v>
      </c>
      <c r="N22" s="60" t="str">
        <f t="array" ref="N22">IF($B22="","",IFERROR(IF(INDEX('01_UngVien_PhongVan'!$M:$M,MATCH($B22,'01_UngVien_PhongVan'!$B:$B,0))=0,"",INDEX('01_UngVien_PhongVan'!$M:$M,MATCH($B22,'01_UngVien_PhongVan'!$B:$B,0))),""))</f>
        <v>C1/27, Tổ 1, Ấp 3, Tân Kiên, Bình Chánh, TP.HCM</v>
      </c>
      <c r="O22" s="60" t="str">
        <f t="array" ref="O22">IF($B22="","",IFERROR(IF(INDEX('01_UngVien_PhongVan'!$N:$N,MATCH($B22,'01_UngVien_PhongVan'!$B:$B,0))=0,"",INDEX('01_UngVien_PhongVan'!$N:$N,MATCH($B22,'01_UngVien_PhongVan'!$B:$B,0))),""))</f>
        <v>C1/27, Tổ 1, Ấp 3, Tân Kiên, Bình Chánh, TP.HCM</v>
      </c>
      <c r="P22" s="60" t="str">
        <f t="array" ref="P22">IF($B22="","",IFERROR(IF(INDEX('01_UngVien_PhongVan'!$O:$O,MATCH($B22,'01_UngVien_PhongVan'!$B:$B,0))=0,"",INDEX('01_UngVien_PhongVan'!$O:$O,MATCH($B22,'01_UngVien_PhongVan'!$B:$B,0))),""))</f>
        <v>12/12</v>
      </c>
      <c r="Q22" s="60" t="str">
        <f t="array" ref="Q22">IF($B22="","",IFERROR(IF(INDEX('01_UngVien_PhongVan'!$P:$P,MATCH($B22,'01_UngVien_PhongVan'!$B:$B,0))=0,"",INDEX('01_UngVien_PhongVan'!$P:$P,MATCH($B22,'01_UngVien_PhongVan'!$B:$B,0))),""))</f>
        <v>Nguyễn Đại Tôn</v>
      </c>
      <c r="R22" s="60" t="str">
        <f t="array" ref="R22">IF($B22="","",IFERROR(IF(INDEX('01_UngVien_PhongVan'!$Q:$Q,MATCH($B22,'01_UngVien_PhongVan'!$B:$B,0))=0,"",INDEX('01_UngVien_PhongVan'!$Q:$Q,MATCH($B22,'01_UngVien_PhongVan'!$B:$B,0))),""))</f>
        <v>0906920233</v>
      </c>
      <c r="S22" s="60" t="str">
        <f t="array" ref="S22">IF($B22="","",IFERROR(IF(INDEX('01_UngVien_PhongVan'!$R:$R,MATCH($B22,'01_UngVien_PhongVan'!$B:$B,0))=0,"",INDEX('01_UngVien_PhongVan'!$R:$R,MATCH($B22,'01_UngVien_PhongVan'!$B:$B,0))),""))</f>
        <v>Thủ công</v>
      </c>
      <c r="T22" s="60">
        <f t="array" ref="T22">IF($B22="","",IFERROR(IF(INDEX('01_UngVien_PhongVan'!$U:$U,MATCH($B22,'01_UngVien_PhongVan'!$B:$B,0))=0,"",INDEX('01_UngVien_PhongVan'!$U:$U,MATCH($B22,'01_UngVien_PhongVan'!$B:$B,0))),""))</f>
      </c>
      <c r="U22" s="73">
        <f t="array" ref="U22">IF($B22="","",IFERROR(IF(INDEX('01_UngVien_PhongVan'!$C:$C,MATCH($B22,'01_UngVien_PhongVan'!$B:$B,0))=0,"",INDEX('01_UngVien_PhongVan'!$C:$C,MATCH($B22,'01_UngVien_PhongVan'!$B:$B,0))),""))</f>
        <v>46268</v>
      </c>
      <c r="V22" s="73">
        <f t="array" ref="V22">IF($B22="","",IFERROR(IF(INDEX('02_DS_Nhan_Viec'!$D:$D,MATCH($B22,'02_DS_Nhan_Viec'!$B:$B,0))=0,"",INDEX('02_DS_Nhan_Viec'!$D:$D,MATCH($B22,'02_DS_Nhan_Viec'!$B:$B,0))),""))</f>
        <v>46269</v>
      </c>
      <c r="W22" s="73">
        <f t="array" ref="W22">IF($B22="","",IFERROR(IF(INDEX('02_DS_Nhan_Viec'!$E:$E,MATCH($B22,'02_DS_Nhan_Viec'!$B:$B,0))=0,"",INDEX('02_DS_Nhan_Viec'!$E:$E,MATCH($B22,'02_DS_Nhan_Viec'!$B:$B,0))),""))</f>
        <v>46270</v>
      </c>
      <c r="X22" s="73">
        <f t="array" ref="X22">IF($C22="","",IFERROR(IF(INDEX('05_Theo_Doi_Gio_Cong_7_Ngay'!$P:$P,MATCH($C22,'05_Theo_Doi_Gio_Cong_7_Ngay'!$B:$B,0))=0,"",INDEX('05_Theo_Doi_Gio_Cong_7_Ngay'!$P:$P,MATCH($C22,'05_Theo_Doi_Gio_Cong_7_Ngay'!$B:$B,0))),""))</f>
        <v>46277</v>
      </c>
      <c r="Y22" s="60" t="str">
        <f t="array" ref="Y22">IF($C22="","",IFERROR(IF(INDEX('05_Theo_Doi_Gio_Cong_7_Ngay'!$M:$M,MATCH($C22,'05_Theo_Doi_Gio_Cong_7_Ngay'!$B:$B,0))=0,"",INDEX('05_Theo_Doi_Gio_Cong_7_Ngay'!$M:$M,MATCH($C22,'05_Theo_Doi_Gio_Cong_7_Ngay'!$B:$B,0))),""))</f>
        <v>⏳ Đang theo dõi (0/7 ngày đã nhập)</v>
      </c>
      <c r="Z22" s="60" t="str">
        <f t="array" ref="Z22">IF($C22="","",IFERROR(IF(INDEX('05_Theo_Doi_Gio_Cong_7_Ngay'!$Q:$Q,MATCH($C22,'05_Theo_Doi_Gio_Cong_7_Ngay'!$B:$B,0))=0,"",INDEX('05_Theo_Doi_Gio_Cong_7_Ngay'!$Q:$Q,MATCH($C22,'05_Theo_Doi_Gio_Cong_7_Ngay'!$B:$B,0))),""))</f>
        <v>⏳ Chưa đủ 7 ngày (0/7)</v>
      </c>
      <c r="AA22" s="60">
        <f t="array" ref="AA22">IF($B22="","",IFERROR(IF(INDEX('02_DS_Nhan_Viec'!$H:$H,MATCH($B22,'02_DS_Nhan_Viec'!$B:$B,0))=0,"",INDEX('02_DS_Nhan_Viec'!$H:$H,MATCH($B22,'02_DS_Nhan_Viec'!$B:$B,0))),""))</f>
      </c>
      <c r="AB22" s="60" t="str">
        <f t="array" ref="AB22">IF($B22="","",IFERROR(IF(INDEX('02_DS_Nhan_Viec'!$I:$I,MATCH($B22,'02_DS_Nhan_Viec'!$B:$B,0))=0,"",INDEX('02_DS_Nhan_Viec'!$I:$I,MATCH($B22,'02_DS_Nhan_Viec'!$B:$B,0))),""))</f>
        <v>Thủ công</v>
      </c>
      <c r="AC22" s="61" t="str">
        <f t="array" ref="AC22">IF($B22="","",IF($C22="","Đang theo dõi",IF(OR(IFERROR(INDEX('05_Theo_Doi_Gio_Cong_7_Ngay'!$R:$R,MATCH($C22,'05_Theo_Doi_Gio_Cong_7_Ngay'!$B:$B,0)),"")="",IFERROR(INDEX('05_Theo_Doi_Gio_Cong_7_Ngay'!$R:$R,MATCH($C22,'05_Theo_Doi_Gio_Cong_7_Ngay'!$B:$B,0)),0)=0),"Đang theo dõi",IFERROR(INDEX('06_DS_Chinh_Thuc'!$K:$K,MATCH(IFERROR(INDEX('05_Theo_Doi_Gio_Cong_7_Ngay'!$R:$R,MATCH($C22,'05_Theo_Doi_Gio_Cong_7_Ngay'!$B:$B,0)),0),'06_DS_Chinh_Thuc'!$B:$B,0)),"Đang theo dõi"))))</f>
        <v>Đang theo dõi</v>
      </c>
    </row>
    <row r="23" ht="14.25" customHeight="1" spans="1:29" x14ac:dyDescent="0.25">
      <c r="A23" s="52">
        <f t="shared" si="0"/>
        <v>22</v>
      </c>
      <c r="B23" s="52" t="str">
        <f t="array" ref="B23">IFERROR(INDEX('02_DS_Nhan_Viec'!$B:$B,MATCH(22,'02_DS_Nhan_Viec'!$M:$M,0)),"")</f>
        <v>UV0926-002</v>
      </c>
      <c r="C23" s="52" t="str">
        <f t="array" ref="C23">IF($B23="","",IFERROR(IF(INDEX('02_DS_Nhan_Viec'!$J:$J,MATCH($B23,'02_DS_Nhan_Viec'!$B:$B,0))=0,"",INDEX('02_DS_Nhan_Viec'!$J:$J,MATCH($B23,'02_DS_Nhan_Viec'!$B:$B,0))),""))</f>
        <v>NV022</v>
      </c>
      <c r="D23" s="52">
        <f t="array" ref="D23">IF($C23="","",IFERROR(IF(INDEX('05_Theo_Doi_Gio_Cong_7_Ngay'!$R:$R,MATCH($C23,'05_Theo_Doi_Gio_Cong_7_Ngay'!$B:$B,0))=0,"",INDEX('05_Theo_Doi_Gio_Cong_7_Ngay'!$R:$R,MATCH($C23,'05_Theo_Doi_Gio_Cong_7_Ngay'!$B:$B,0))),""))</f>
      </c>
      <c r="E23" s="60" t="str">
        <f t="array" ref="E23">IF($B23="","",IFERROR(IF(INDEX('01_UngVien_PhongVan'!$D:$D,MATCH($B23,'01_UngVien_PhongVan'!$B:$B,0))=0,"",INDEX('01_UngVien_PhongVan'!$D:$D,MATCH($B23,'01_UngVien_PhongVan'!$B:$B,0))),""))</f>
        <v>Thạch Thị Giàu</v>
      </c>
      <c r="F23" s="52" t="str">
        <f t="array" ref="F23">IF($B23="","",IFERROR(IF(INDEX('01_UngVien_PhongVan'!$F:$F,MATCH($B23,'01_UngVien_PhongVan'!$B:$B,0))=0,"",INDEX('01_UngVien_PhongVan'!$F:$F,MATCH($B23,'01_UngVien_PhongVan'!$B:$B,0))),""))</f>
        <v>Nữ</v>
      </c>
      <c r="G23" s="72">
        <f t="array" ref="G23">IF($B23="","",IFERROR(IF(INDEX('01_UngVien_PhongVan'!$G:$G,MATCH($B23,'01_UngVien_PhongVan'!$B:$B,0))=0,"",INDEX('01_UngVien_PhongVan'!$G:$G,MATCH($B23,'01_UngVien_PhongVan'!$B:$B,0))),""))</f>
        <v>2011</v>
      </c>
      <c r="H23" s="52" t="str">
        <f t="array" ref="H23">IF($B23="","",IFERROR(IF(INDEX('01_UngVien_PhongVan'!$H:$H,MATCH($B23,'01_UngVien_PhongVan'!$B:$B,0))=0,"",INDEX('01_UngVien_PhongVan'!$H:$H,MATCH($B23,'01_UngVien_PhongVan'!$B:$B,0))),""))</f>
        <v>Kinh</v>
      </c>
      <c r="I23" s="60" t="str">
        <f t="array" ref="I23">IF($B23="","",IFERROR(IF(INDEX('01_UngVien_PhongVan'!$I:$I,MATCH($B23,'01_UngVien_PhongVan'!$B:$B,0))=0,"",INDEX('01_UngVien_PhongVan'!$I:$I,MATCH($B23,'01_UngVien_PhongVan'!$B:$B,0))),""))</f>
        <v>Độc thân</v>
      </c>
      <c r="J23" s="60" t="str">
        <f t="array" ref="J23">IF($B23="","",IFERROR(IF(INDEX('01_UngVien_PhongVan'!$J:$J,MATCH($B23,'01_UngVien_PhongVan'!$B:$B,0))=0,"",INDEX('01_UngVien_PhongVan'!$J:$J,MATCH($B23,'01_UngVien_PhongVan'!$B:$B,0))),""))</f>
        <v>084311006205</v>
      </c>
      <c r="K23" s="73">
        <f t="array" ref="K23">IF($B23="","",IFERROR(IF(INDEX('01_UngVien_PhongVan'!$K:$K,MATCH($B23,'01_UngVien_PhongVan'!$B:$B,0))=0,"",INDEX('01_UngVien_PhongVan'!$K:$K,MATCH($B23,'01_UngVien_PhongVan'!$B:$B,0))),""))</f>
        <v>45726</v>
      </c>
      <c r="L23" s="60" t="str">
        <f t="array" ref="L23">IF($B23="","",IFERROR(IF(INDEX('01_UngVien_PhongVan'!$L:$L,MATCH($B23,'01_UngVien_PhongVan'!$B:$B,0))=0,"",INDEX('01_UngVien_PhongVan'!$L:$L,MATCH($B23,'01_UngVien_PhongVan'!$B:$B,0))),""))</f>
        <v>Bộ Công An</v>
      </c>
      <c r="M23" s="60" t="str">
        <f t="array" ref="M23">IF($B23="","",IFERROR(IF(INDEX('01_UngVien_PhongVan'!$E:$E,MATCH($B23,'01_UngVien_PhongVan'!$B:$B,0))=0,"",INDEX('01_UngVien_PhongVan'!$E:$E,MATCH($B23,'01_UngVien_PhongVan'!$B:$B,0))),""))</f>
        <v>0382329792</v>
      </c>
      <c r="N23" s="60" t="str">
        <f t="array" ref="N23">IF($B23="","",IFERROR(IF(INDEX('01_UngVien_PhongVan'!$M:$M,MATCH($B23,'01_UngVien_PhongVan'!$B:$B,0))=0,"",INDEX('01_UngVien_PhongVan'!$M:$M,MATCH($B23,'01_UngVien_PhongVan'!$B:$B,0))),""))</f>
        <v>Ấp Chông Nô 3, Hào Tân, Cầu Kè, Trà Vinh</v>
      </c>
      <c r="O23" s="60" t="str">
        <f t="array" ref="O23">IF($B23="","",IFERROR(IF(INDEX('01_UngVien_PhongVan'!$N:$N,MATCH($B23,'01_UngVien_PhongVan'!$B:$B,0))=0,"",INDEX('01_UngVien_PhongVan'!$N:$N,MATCH($B23,'01_UngVien_PhongVan'!$B:$B,0))),""))</f>
        <v>A8/10, Bông Văn Dĩa, Tân Nhựt, TP.HCM</v>
      </c>
      <c r="P23" s="60" t="str">
        <f t="array" ref="P23">IF($B23="","",IFERROR(IF(INDEX('01_UngVien_PhongVan'!$O:$O,MATCH($B23,'01_UngVien_PhongVan'!$B:$B,0))=0,"",INDEX('01_UngVien_PhongVan'!$O:$O,MATCH($B23,'01_UngVien_PhongVan'!$B:$B,0))),""))</f>
        <v>7/12</v>
      </c>
      <c r="Q23" s="60" t="str">
        <f t="array" ref="Q23">IF($B23="","",IFERROR(IF(INDEX('01_UngVien_PhongVan'!$P:$P,MATCH($B23,'01_UngVien_PhongVan'!$B:$B,0))=0,"",INDEX('01_UngVien_PhongVan'!$P:$P,MATCH($B23,'01_UngVien_PhongVan'!$B:$B,0))),""))</f>
        <v>Nguyễn Văn Mến</v>
      </c>
      <c r="R23" s="60" t="str">
        <f t="array" ref="R23">IF($B23="","",IFERROR(IF(INDEX('01_UngVien_PhongVan'!$Q:$Q,MATCH($B23,'01_UngVien_PhongVan'!$B:$B,0))=0,"",INDEX('01_UngVien_PhongVan'!$Q:$Q,MATCH($B23,'01_UngVien_PhongVan'!$B:$B,0))),""))</f>
        <v>0382329792</v>
      </c>
      <c r="S23" s="60" t="str">
        <f t="array" ref="S23">IF($B23="","",IFERROR(IF(INDEX('01_UngVien_PhongVan'!$R:$R,MATCH($B23,'01_UngVien_PhongVan'!$B:$B,0))=0,"",INDEX('01_UngVien_PhongVan'!$R:$R,MATCH($B23,'01_UngVien_PhongVan'!$B:$B,0))),""))</f>
        <v>Đào tạo may</v>
      </c>
      <c r="T23" s="60">
        <f t="array" ref="T23">IF($B23="","",IFERROR(IF(INDEX('01_UngVien_PhongVan'!$U:$U,MATCH($B23,'01_UngVien_PhongVan'!$B:$B,0))=0,"",INDEX('01_UngVien_PhongVan'!$U:$U,MATCH($B23,'01_UngVien_PhongVan'!$B:$B,0))),""))</f>
      </c>
      <c r="U23" s="73">
        <f t="array" ref="U23">IF($B23="","",IFERROR(IF(INDEX('01_UngVien_PhongVan'!$C:$C,MATCH($B23,'01_UngVien_PhongVan'!$B:$B,0))=0,"",INDEX('01_UngVien_PhongVan'!$C:$C,MATCH($B23,'01_UngVien_PhongVan'!$B:$B,0))),""))</f>
        <v>46268</v>
      </c>
      <c r="V23" s="73">
        <f t="array" ref="V23">IF($B23="","",IFERROR(IF(INDEX('02_DS_Nhan_Viec'!$D:$D,MATCH($B23,'02_DS_Nhan_Viec'!$B:$B,0))=0,"",INDEX('02_DS_Nhan_Viec'!$D:$D,MATCH($B23,'02_DS_Nhan_Viec'!$B:$B,0))),""))</f>
        <v>46269</v>
      </c>
      <c r="W23" s="73">
        <f t="array" ref="W23">IF($B23="","",IFERROR(IF(INDEX('02_DS_Nhan_Viec'!$E:$E,MATCH($B23,'02_DS_Nhan_Viec'!$B:$B,0))=0,"",INDEX('02_DS_Nhan_Viec'!$E:$E,MATCH($B23,'02_DS_Nhan_Viec'!$B:$B,0))),""))</f>
        <v>46270</v>
      </c>
      <c r="X23" s="73">
        <f t="array" ref="X23">IF($C23="","",IFERROR(IF(INDEX('05_Theo_Doi_Gio_Cong_7_Ngay'!$P:$P,MATCH($C23,'05_Theo_Doi_Gio_Cong_7_Ngay'!$B:$B,0))=0,"",INDEX('05_Theo_Doi_Gio_Cong_7_Ngay'!$P:$P,MATCH($C23,'05_Theo_Doi_Gio_Cong_7_Ngay'!$B:$B,0))),""))</f>
        <v>46277</v>
      </c>
      <c r="Y23" s="60" t="str">
        <f t="array" ref="Y23">IF($C23="","",IFERROR(IF(INDEX('05_Theo_Doi_Gio_Cong_7_Ngay'!$M:$M,MATCH($C23,'05_Theo_Doi_Gio_Cong_7_Ngay'!$B:$B,0))=0,"",INDEX('05_Theo_Doi_Gio_Cong_7_Ngay'!$M:$M,MATCH($C23,'05_Theo_Doi_Gio_Cong_7_Ngay'!$B:$B,0))),""))</f>
        <v>⏳ Đang theo dõi (0/7 ngày đã nhập)</v>
      </c>
      <c r="Z23" s="60" t="str">
        <f t="array" ref="Z23">IF($C23="","",IFERROR(IF(INDEX('05_Theo_Doi_Gio_Cong_7_Ngay'!$Q:$Q,MATCH($C23,'05_Theo_Doi_Gio_Cong_7_Ngay'!$B:$B,0))=0,"",INDEX('05_Theo_Doi_Gio_Cong_7_Ngay'!$Q:$Q,MATCH($C23,'05_Theo_Doi_Gio_Cong_7_Ngay'!$B:$B,0))),""))</f>
        <v>⏳ Chưa đủ 7 ngày (0/7)</v>
      </c>
      <c r="AA23" s="60">
        <f t="array" ref="AA23">IF($B23="","",IFERROR(IF(INDEX('02_DS_Nhan_Viec'!$H:$H,MATCH($B23,'02_DS_Nhan_Viec'!$B:$B,0))=0,"",INDEX('02_DS_Nhan_Viec'!$H:$H,MATCH($B23,'02_DS_Nhan_Viec'!$B:$B,0))),""))</f>
      </c>
      <c r="AB23" s="60" t="str">
        <f t="array" ref="AB23">IF($B23="","",IFERROR(IF(INDEX('02_DS_Nhan_Viec'!$I:$I,MATCH($B23,'02_DS_Nhan_Viec'!$B:$B,0))=0,"",INDEX('02_DS_Nhan_Viec'!$I:$I,MATCH($B23,'02_DS_Nhan_Viec'!$B:$B,0))),""))</f>
        <v>Thủ công</v>
      </c>
      <c r="AC23" s="61" t="str">
        <f t="array" ref="AC23">IF($B23="","",IF($C23="","Đang theo dõi",IF(OR(IFERROR(INDEX('05_Theo_Doi_Gio_Cong_7_Ngay'!$R:$R,MATCH($C23,'05_Theo_Doi_Gio_Cong_7_Ngay'!$B:$B,0)),"")="",IFERROR(INDEX('05_Theo_Doi_Gio_Cong_7_Ngay'!$R:$R,MATCH($C23,'05_Theo_Doi_Gio_Cong_7_Ngay'!$B:$B,0)),0)=0),"Đang theo dõi",IFERROR(INDEX('06_DS_Chinh_Thuc'!$K:$K,MATCH(IFERROR(INDEX('05_Theo_Doi_Gio_Cong_7_Ngay'!$R:$R,MATCH($C23,'05_Theo_Doi_Gio_Cong_7_Ngay'!$B:$B,0)),0),'06_DS_Chinh_Thuc'!$B:$B,0)),"Đang theo dõi"))))</f>
        <v>Đang theo dõi</v>
      </c>
    </row>
    <row r="24" ht="14.25" customHeight="1" spans="1:29" x14ac:dyDescent="0.25">
      <c r="A24" s="52">
        <f t="shared" si="0"/>
        <v>23</v>
      </c>
      <c r="B24" s="52" t="str">
        <f t="array" ref="B24">IFERROR(INDEX('02_DS_Nhan_Viec'!$B:$B,MATCH(23,'02_DS_Nhan_Viec'!$M:$M,0)),"")</f>
        <v>UV0926-005</v>
      </c>
      <c r="C24" s="52" t="str">
        <f t="array" ref="C24">IF($B24="","",IFERROR(IF(INDEX('02_DS_Nhan_Viec'!$J:$J,MATCH($B24,'02_DS_Nhan_Viec'!$B:$B,0))=0,"",INDEX('02_DS_Nhan_Viec'!$J:$J,MATCH($B24,'02_DS_Nhan_Viec'!$B:$B,0))),""))</f>
        <v>NV023</v>
      </c>
      <c r="D24" s="52">
        <f t="array" ref="D24">IF($C24="","",IFERROR(IF(INDEX('05_Theo_Doi_Gio_Cong_7_Ngay'!$R:$R,MATCH($C24,'05_Theo_Doi_Gio_Cong_7_Ngay'!$B:$B,0))=0,"",INDEX('05_Theo_Doi_Gio_Cong_7_Ngay'!$R:$R,MATCH($C24,'05_Theo_Doi_Gio_Cong_7_Ngay'!$B:$B,0))),""))</f>
      </c>
      <c r="E24" s="60" t="str">
        <f t="array" ref="E24">IF($B24="","",IFERROR(IF(INDEX('01_UngVien_PhongVan'!$D:$D,MATCH($B24,'01_UngVien_PhongVan'!$B:$B,0))=0,"",INDEX('01_UngVien_PhongVan'!$D:$D,MATCH($B24,'01_UngVien_PhongVan'!$B:$B,0))),""))</f>
        <v>Trần Nguyễn Văn Mạnh</v>
      </c>
      <c r="F24" s="52" t="str">
        <f t="array" ref="F24">IF($B24="","",IFERROR(IF(INDEX('01_UngVien_PhongVan'!$F:$F,MATCH($B24,'01_UngVien_PhongVan'!$B:$B,0))=0,"",INDEX('01_UngVien_PhongVan'!$F:$F,MATCH($B24,'01_UngVien_PhongVan'!$B:$B,0))),""))</f>
        <v>Nam</v>
      </c>
      <c r="G24" s="72">
        <f t="array" ref="G24">IF($B24="","",IFERROR(IF(INDEX('01_UngVien_PhongVan'!$G:$G,MATCH($B24,'01_UngVien_PhongVan'!$B:$B,0))=0,"",INDEX('01_UngVien_PhongVan'!$G:$G,MATCH($B24,'01_UngVien_PhongVan'!$B:$B,0))),""))</f>
        <v>2008</v>
      </c>
      <c r="H24" s="52" t="str">
        <f t="array" ref="H24">IF($B24="","",IFERROR(IF(INDEX('01_UngVien_PhongVan'!$H:$H,MATCH($B24,'01_UngVien_PhongVan'!$B:$B,0))=0,"",INDEX('01_UngVien_PhongVan'!$H:$H,MATCH($B24,'01_UngVien_PhongVan'!$B:$B,0))),""))</f>
        <v>Kinh</v>
      </c>
      <c r="I24" s="60" t="str">
        <f t="array" ref="I24">IF($B24="","",IFERROR(IF(INDEX('01_UngVien_PhongVan'!$I:$I,MATCH($B24,'01_UngVien_PhongVan'!$B:$B,0))=0,"",INDEX('01_UngVien_PhongVan'!$I:$I,MATCH($B24,'01_UngVien_PhongVan'!$B:$B,0))),""))</f>
        <v>Độc thân</v>
      </c>
      <c r="J24" s="60" t="str">
        <f t="array" ref="J24">IF($B24="","",IFERROR(IF(INDEX('01_UngVien_PhongVan'!$J:$J,MATCH($B24,'01_UngVien_PhongVan'!$B:$B,0))=0,"",INDEX('01_UngVien_PhongVan'!$J:$J,MATCH($B24,'01_UngVien_PhongVan'!$B:$B,0))),""))</f>
        <v>079208002012</v>
      </c>
      <c r="K24" s="73">
        <f t="array" ref="K24">IF($B24="","",IFERROR(IF(INDEX('01_UngVien_PhongVan'!$K:$K,MATCH($B24,'01_UngVien_PhongVan'!$B:$B,0))=0,"",INDEX('01_UngVien_PhongVan'!$K:$K,MATCH($B24,'01_UngVien_PhongVan'!$B:$B,0))),""))</f>
        <v>44941</v>
      </c>
      <c r="L24" s="60" t="str">
        <f t="array" ref="L24">IF($B24="","",IFERROR(IF(INDEX('01_UngVien_PhongVan'!$L:$L,MATCH($B24,'01_UngVien_PhongVan'!$B:$B,0))=0,"",INDEX('01_UngVien_PhongVan'!$L:$L,MATCH($B24,'01_UngVien_PhongVan'!$B:$B,0))),""))</f>
        <v>Bộ Công An</v>
      </c>
      <c r="M24" s="60" t="str">
        <f t="array" ref="M24">IF($B24="","",IFERROR(IF(INDEX('01_UngVien_PhongVan'!$E:$E,MATCH($B24,'01_UngVien_PhongVan'!$B:$B,0))=0,"",INDEX('01_UngVien_PhongVan'!$E:$E,MATCH($B24,'01_UngVien_PhongVan'!$B:$B,0))),""))</f>
        <v>0933824526</v>
      </c>
      <c r="N24" s="60" t="str">
        <f t="array" ref="N24">IF($B24="","",IFERROR(IF(INDEX('01_UngVien_PhongVan'!$M:$M,MATCH($B24,'01_UngVien_PhongVan'!$B:$B,0))=0,"",INDEX('01_UngVien_PhongVan'!$M:$M,MATCH($B24,'01_UngVien_PhongVan'!$B:$B,0))),""))</f>
        <v>175/3, Phan Văn Khoẻ, Phường 5, Quận 5, Quận 6, TP.HCM</v>
      </c>
      <c r="O24" s="60" t="str">
        <f t="array" ref="O24">IF($B24="","",IFERROR(IF(INDEX('01_UngVien_PhongVan'!$N:$N,MATCH($B24,'01_UngVien_PhongVan'!$B:$B,0))=0,"",INDEX('01_UngVien_PhongVan'!$N:$N,MATCH($B24,'01_UngVien_PhongVan'!$B:$B,0))),""))</f>
        <v>175/3, Phan Văn Khoẻ, Phường 5, Quận 5, Quận 6, TP.HCM</v>
      </c>
      <c r="P24" s="60" t="str">
        <f t="array" ref="P24">IF($B24="","",IFERROR(IF(INDEX('01_UngVien_PhongVan'!$O:$O,MATCH($B24,'01_UngVien_PhongVan'!$B:$B,0))=0,"",INDEX('01_UngVien_PhongVan'!$O:$O,MATCH($B24,'01_UngVien_PhongVan'!$B:$B,0))),""))</f>
        <v>5/12</v>
      </c>
      <c r="Q24" s="60" t="str">
        <f t="array" ref="Q24">IF($B24="","",IFERROR(IF(INDEX('01_UngVien_PhongVan'!$P:$P,MATCH($B24,'01_UngVien_PhongVan'!$B:$B,0))=0,"",INDEX('01_UngVien_PhongVan'!$P:$P,MATCH($B24,'01_UngVien_PhongVan'!$B:$B,0))),""))</f>
        <v>Trần Thị Tuyết Phương</v>
      </c>
      <c r="R24" s="60" t="str">
        <f t="array" ref="R24">IF($B24="","",IFERROR(IF(INDEX('01_UngVien_PhongVan'!$Q:$Q,MATCH($B24,'01_UngVien_PhongVan'!$B:$B,0))=0,"",INDEX('01_UngVien_PhongVan'!$Q:$Q,MATCH($B24,'01_UngVien_PhongVan'!$B:$B,0))),""))</f>
        <v>0772768190</v>
      </c>
      <c r="S24" s="60" t="str">
        <f t="array" ref="S24">IF($B24="","",IFERROR(IF(INDEX('01_UngVien_PhongVan'!$R:$R,MATCH($B24,'01_UngVien_PhongVan'!$B:$B,0))=0,"",INDEX('01_UngVien_PhongVan'!$R:$R,MATCH($B24,'01_UngVien_PhongVan'!$B:$B,0))),""))</f>
        <v>Chặt</v>
      </c>
      <c r="T24" s="60" t="str">
        <f t="array" ref="T24">IF($B24="","",IFERROR(IF(INDEX('01_UngVien_PhongVan'!$U:$U,MATCH($B24,'01_UngVien_PhongVan'!$B:$B,0))=0,"",INDEX('01_UngVien_PhongVan'!$U:$U,MATCH($B24,'01_UngVien_PhongVan'!$B:$B,0))),""))</f>
        <v>Bạn giới thiệu</v>
      </c>
      <c r="U24" s="73">
        <f t="array" ref="U24">IF($B24="","",IFERROR(IF(INDEX('01_UngVien_PhongVan'!$C:$C,MATCH($B24,'01_UngVien_PhongVan'!$B:$B,0))=0,"",INDEX('01_UngVien_PhongVan'!$C:$C,MATCH($B24,'01_UngVien_PhongVan'!$B:$B,0))),""))</f>
        <v>46269</v>
      </c>
      <c r="V24" s="73">
        <f t="array" ref="V24">IF($B24="","",IFERROR(IF(INDEX('02_DS_Nhan_Viec'!$D:$D,MATCH($B24,'02_DS_Nhan_Viec'!$B:$B,0))=0,"",INDEX('02_DS_Nhan_Viec'!$D:$D,MATCH($B24,'02_DS_Nhan_Viec'!$B:$B,0))),""))</f>
        <v>46270</v>
      </c>
      <c r="W24" s="73">
        <f t="array" ref="W24">IF($B24="","",IFERROR(IF(INDEX('02_DS_Nhan_Viec'!$E:$E,MATCH($B24,'02_DS_Nhan_Viec'!$B:$B,0))=0,"",INDEX('02_DS_Nhan_Viec'!$E:$E,MATCH($B24,'02_DS_Nhan_Viec'!$B:$B,0))),""))</f>
        <v>46270</v>
      </c>
      <c r="X24" s="73">
        <f t="array" ref="X24">IF($C24="","",IFERROR(IF(INDEX('05_Theo_Doi_Gio_Cong_7_Ngay'!$P:$P,MATCH($C24,'05_Theo_Doi_Gio_Cong_7_Ngay'!$B:$B,0))=0,"",INDEX('05_Theo_Doi_Gio_Cong_7_Ngay'!$P:$P,MATCH($C24,'05_Theo_Doi_Gio_Cong_7_Ngay'!$B:$B,0))),""))</f>
        <v>46277</v>
      </c>
      <c r="Y24" s="60" t="str">
        <f t="array" ref="Y24">IF($C24="","",IFERROR(IF(INDEX('05_Theo_Doi_Gio_Cong_7_Ngay'!$M:$M,MATCH($C24,'05_Theo_Doi_Gio_Cong_7_Ngay'!$B:$B,0))=0,"",INDEX('05_Theo_Doi_Gio_Cong_7_Ngay'!$M:$M,MATCH($C24,'05_Theo_Doi_Gio_Cong_7_Ngay'!$B:$B,0))),""))</f>
        <v>⏳ Đang theo dõi (0/7 ngày đã nhập)</v>
      </c>
      <c r="Z24" s="60" t="str">
        <f t="array" ref="Z24">IF($C24="","",IFERROR(IF(INDEX('05_Theo_Doi_Gio_Cong_7_Ngay'!$Q:$Q,MATCH($C24,'05_Theo_Doi_Gio_Cong_7_Ngay'!$B:$B,0))=0,"",INDEX('05_Theo_Doi_Gio_Cong_7_Ngay'!$Q:$Q,MATCH($C24,'05_Theo_Doi_Gio_Cong_7_Ngay'!$B:$B,0))),""))</f>
        <v>⏳ Chưa đủ 7 ngày (0/7)</v>
      </c>
      <c r="AA24" s="60" t="str">
        <f t="array" ref="AA24">IF($B24="","",IFERROR(IF(INDEX('02_DS_Nhan_Viec'!$H:$H,MATCH($B24,'02_DS_Nhan_Viec'!$B:$B,0))=0,"",INDEX('02_DS_Nhan_Viec'!$H:$H,MATCH($B24,'02_DS_Nhan_Viec'!$B:$B,0))),""))</f>
        <v>Chặt</v>
      </c>
      <c r="AB24" s="60" t="str">
        <f t="array" ref="AB24">IF($B24="","",IFERROR(IF(INDEX('02_DS_Nhan_Viec'!$I:$I,MATCH($B24,'02_DS_Nhan_Viec'!$B:$B,0))=0,"",INDEX('02_DS_Nhan_Viec'!$I:$I,MATCH($B24,'02_DS_Nhan_Viec'!$B:$B,0))),""))</f>
        <v>Chặt</v>
      </c>
      <c r="AC24" s="61" t="str">
        <f t="array" ref="AC24">IF($B24="","",IF($C24="","Đang theo dõi",IF(OR(IFERROR(INDEX('05_Theo_Doi_Gio_Cong_7_Ngay'!$R:$R,MATCH($C24,'05_Theo_Doi_Gio_Cong_7_Ngay'!$B:$B,0)),"")="",IFERROR(INDEX('05_Theo_Doi_Gio_Cong_7_Ngay'!$R:$R,MATCH($C24,'05_Theo_Doi_Gio_Cong_7_Ngay'!$B:$B,0)),0)=0),"Đang theo dõi",IFERROR(INDEX('06_DS_Chinh_Thuc'!$K:$K,MATCH(IFERROR(INDEX('05_Theo_Doi_Gio_Cong_7_Ngay'!$R:$R,MATCH($C24,'05_Theo_Doi_Gio_Cong_7_Ngay'!$B:$B,0)),0),'06_DS_Chinh_Thuc'!$B:$B,0)),"Đang theo dõi"))))</f>
        <v>Đang theo dõi</v>
      </c>
    </row>
    <row r="25" ht="14.25" customHeight="1" spans="1:29" x14ac:dyDescent="0.25">
      <c r="A25" s="52">
        <f t="shared" si="0"/>
      </c>
      <c r="B25" s="52">
        <f t="array" ref="B25">IFERROR(INDEX('02_DS_Nhan_Viec'!$B:$B,MATCH(24,'02_DS_Nhan_Viec'!$M:$M,0)),"")</f>
      </c>
      <c r="C25" s="52">
        <f t="array" ref="C25">IF($B25="","",IFERROR(IF(INDEX('02_DS_Nhan_Viec'!$J:$J,MATCH($B25,'02_DS_Nhan_Viec'!$B:$B,0))=0,"",INDEX('02_DS_Nhan_Viec'!$J:$J,MATCH($B25,'02_DS_Nhan_Viec'!$B:$B,0))),""))</f>
      </c>
      <c r="D25" s="52">
        <f t="array" ref="D25">IF($C25="","",IFERROR(IF(INDEX('05_Theo_Doi_Gio_Cong_7_Ngay'!$R:$R,MATCH($C25,'05_Theo_Doi_Gio_Cong_7_Ngay'!$B:$B,0))=0,"",INDEX('05_Theo_Doi_Gio_Cong_7_Ngay'!$R:$R,MATCH($C25,'05_Theo_Doi_Gio_Cong_7_Ngay'!$B:$B,0))),""))</f>
      </c>
      <c r="E25" s="60">
        <f t="array" ref="E25">IF($B25="","",IFERROR(IF(INDEX('01_UngVien_PhongVan'!$D:$D,MATCH($B25,'01_UngVien_PhongVan'!$B:$B,0))=0,"",INDEX('01_UngVien_PhongVan'!$D:$D,MATCH($B25,'01_UngVien_PhongVan'!$B:$B,0))),""))</f>
      </c>
      <c r="F25" s="52">
        <f t="array" ref="F25">IF($B25="","",IFERROR(IF(INDEX('01_UngVien_PhongVan'!$F:$F,MATCH($B25,'01_UngVien_PhongVan'!$B:$B,0))=0,"",INDEX('01_UngVien_PhongVan'!$F:$F,MATCH($B25,'01_UngVien_PhongVan'!$B:$B,0))),""))</f>
      </c>
      <c r="G25" s="72">
        <f t="array" ref="G25">IF($B25="","",IFERROR(IF(INDEX('01_UngVien_PhongVan'!$G:$G,MATCH($B25,'01_UngVien_PhongVan'!$B:$B,0))=0,"",INDEX('01_UngVien_PhongVan'!$G:$G,MATCH($B25,'01_UngVien_PhongVan'!$B:$B,0))),""))</f>
      </c>
      <c r="H25" s="52">
        <f t="array" ref="H25">IF($B25="","",IFERROR(IF(INDEX('01_UngVien_PhongVan'!$H:$H,MATCH($B25,'01_UngVien_PhongVan'!$B:$B,0))=0,"",INDEX('01_UngVien_PhongVan'!$H:$H,MATCH($B25,'01_UngVien_PhongVan'!$B:$B,0))),""))</f>
      </c>
      <c r="I25" s="60">
        <f t="array" ref="I25">IF($B25="","",IFERROR(IF(INDEX('01_UngVien_PhongVan'!$I:$I,MATCH($B25,'01_UngVien_PhongVan'!$B:$B,0))=0,"",INDEX('01_UngVien_PhongVan'!$I:$I,MATCH($B25,'01_UngVien_PhongVan'!$B:$B,0))),""))</f>
      </c>
      <c r="J25" s="60">
        <f t="array" ref="J25">IF($B25="","",IFERROR(IF(INDEX('01_UngVien_PhongVan'!$J:$J,MATCH($B25,'01_UngVien_PhongVan'!$B:$B,0))=0,"",INDEX('01_UngVien_PhongVan'!$J:$J,MATCH($B25,'01_UngVien_PhongVan'!$B:$B,0))),""))</f>
      </c>
      <c r="K25" s="73">
        <f t="array" ref="K25">IF($B25="","",IFERROR(IF(INDEX('01_UngVien_PhongVan'!$K:$K,MATCH($B25,'01_UngVien_PhongVan'!$B:$B,0))=0,"",INDEX('01_UngVien_PhongVan'!$K:$K,MATCH($B25,'01_UngVien_PhongVan'!$B:$B,0))),""))</f>
      </c>
      <c r="L25" s="60">
        <f t="array" ref="L25">IF($B25="","",IFERROR(IF(INDEX('01_UngVien_PhongVan'!$L:$L,MATCH($B25,'01_UngVien_PhongVan'!$B:$B,0))=0,"",INDEX('01_UngVien_PhongVan'!$L:$L,MATCH($B25,'01_UngVien_PhongVan'!$B:$B,0))),""))</f>
      </c>
      <c r="M25" s="60">
        <f t="array" ref="M25">IF($B25="","",IFERROR(IF(INDEX('01_UngVien_PhongVan'!$E:$E,MATCH($B25,'01_UngVien_PhongVan'!$B:$B,0))=0,"",INDEX('01_UngVien_PhongVan'!$E:$E,MATCH($B25,'01_UngVien_PhongVan'!$B:$B,0))),""))</f>
      </c>
      <c r="N25" s="60">
        <f t="array" ref="N25">IF($B25="","",IFERROR(IF(INDEX('01_UngVien_PhongVan'!$M:$M,MATCH($B25,'01_UngVien_PhongVan'!$B:$B,0))=0,"",INDEX('01_UngVien_PhongVan'!$M:$M,MATCH($B25,'01_UngVien_PhongVan'!$B:$B,0))),""))</f>
      </c>
      <c r="O25" s="60">
        <f t="array" ref="O25">IF($B25="","",IFERROR(IF(INDEX('01_UngVien_PhongVan'!$N:$N,MATCH($B25,'01_UngVien_PhongVan'!$B:$B,0))=0,"",INDEX('01_UngVien_PhongVan'!$N:$N,MATCH($B25,'01_UngVien_PhongVan'!$B:$B,0))),""))</f>
      </c>
      <c r="P25" s="60">
        <f t="array" ref="P25">IF($B25="","",IFERROR(IF(INDEX('01_UngVien_PhongVan'!$O:$O,MATCH($B25,'01_UngVien_PhongVan'!$B:$B,0))=0,"",INDEX('01_UngVien_PhongVan'!$O:$O,MATCH($B25,'01_UngVien_PhongVan'!$B:$B,0))),""))</f>
      </c>
      <c r="Q25" s="60">
        <f t="array" ref="Q25">IF($B25="","",IFERROR(IF(INDEX('01_UngVien_PhongVan'!$P:$P,MATCH($B25,'01_UngVien_PhongVan'!$B:$B,0))=0,"",INDEX('01_UngVien_PhongVan'!$P:$P,MATCH($B25,'01_UngVien_PhongVan'!$B:$B,0))),""))</f>
      </c>
      <c r="R25" s="60">
        <f t="array" ref="R25">IF($B25="","",IFERROR(IF(INDEX('01_UngVien_PhongVan'!$Q:$Q,MATCH($B25,'01_UngVien_PhongVan'!$B:$B,0))=0,"",INDEX('01_UngVien_PhongVan'!$Q:$Q,MATCH($B25,'01_UngVien_PhongVan'!$B:$B,0))),""))</f>
      </c>
      <c r="S25" s="60">
        <f t="array" ref="S25">IF($B25="","",IFERROR(IF(INDEX('01_UngVien_PhongVan'!$R:$R,MATCH($B25,'01_UngVien_PhongVan'!$B:$B,0))=0,"",INDEX('01_UngVien_PhongVan'!$R:$R,MATCH($B25,'01_UngVien_PhongVan'!$B:$B,0))),""))</f>
      </c>
      <c r="T25" s="60">
        <f t="array" ref="T25">IF($B25="","",IFERROR(IF(INDEX('01_UngVien_PhongVan'!$U:$U,MATCH($B25,'01_UngVien_PhongVan'!$B:$B,0))=0,"",INDEX('01_UngVien_PhongVan'!$U:$U,MATCH($B25,'01_UngVien_PhongVan'!$B:$B,0))),""))</f>
      </c>
      <c r="U25" s="73">
        <f t="array" ref="U25">IF($B25="","",IFERROR(IF(INDEX('01_UngVien_PhongVan'!$C:$C,MATCH($B25,'01_UngVien_PhongVan'!$B:$B,0))=0,"",INDEX('01_UngVien_PhongVan'!$C:$C,MATCH($B25,'01_UngVien_PhongVan'!$B:$B,0))),""))</f>
      </c>
      <c r="V25" s="73">
        <f t="array" ref="V25">IF($B25="","",IFERROR(IF(INDEX('02_DS_Nhan_Viec'!$D:$D,MATCH($B25,'02_DS_Nhan_Viec'!$B:$B,0))=0,"",INDEX('02_DS_Nhan_Viec'!$D:$D,MATCH($B25,'02_DS_Nhan_Viec'!$B:$B,0))),""))</f>
      </c>
      <c r="W25" s="73">
        <f t="array" ref="W25">IF($B25="","",IFERROR(IF(INDEX('02_DS_Nhan_Viec'!$E:$E,MATCH($B25,'02_DS_Nhan_Viec'!$B:$B,0))=0,"",INDEX('02_DS_Nhan_Viec'!$E:$E,MATCH($B25,'02_DS_Nhan_Viec'!$B:$B,0))),""))</f>
      </c>
      <c r="X25" s="73">
        <f t="array" ref="X25">IF($C25="","",IFERROR(IF(INDEX('05_Theo_Doi_Gio_Cong_7_Ngay'!$P:$P,MATCH($C25,'05_Theo_Doi_Gio_Cong_7_Ngay'!$B:$B,0))=0,"",INDEX('05_Theo_Doi_Gio_Cong_7_Ngay'!$P:$P,MATCH($C25,'05_Theo_Doi_Gio_Cong_7_Ngay'!$B:$B,0))),""))</f>
      </c>
      <c r="Y25" s="60">
        <f t="array" ref="Y25">IF($C25="","",IFERROR(IF(INDEX('05_Theo_Doi_Gio_Cong_7_Ngay'!$M:$M,MATCH($C25,'05_Theo_Doi_Gio_Cong_7_Ngay'!$B:$B,0))=0,"",INDEX('05_Theo_Doi_Gio_Cong_7_Ngay'!$M:$M,MATCH($C25,'05_Theo_Doi_Gio_Cong_7_Ngay'!$B:$B,0))),""))</f>
      </c>
      <c r="Z25" s="60">
        <f t="array" ref="Z25">IF($C25="","",IFERROR(IF(INDEX('05_Theo_Doi_Gio_Cong_7_Ngay'!$Q:$Q,MATCH($C25,'05_Theo_Doi_Gio_Cong_7_Ngay'!$B:$B,0))=0,"",INDEX('05_Theo_Doi_Gio_Cong_7_Ngay'!$Q:$Q,MATCH($C25,'05_Theo_Doi_Gio_Cong_7_Ngay'!$B:$B,0))),""))</f>
      </c>
      <c r="AA25" s="60">
        <f t="array" ref="AA25">IF($B25="","",IFERROR(IF(INDEX('02_DS_Nhan_Viec'!$H:$H,MATCH($B25,'02_DS_Nhan_Viec'!$B:$B,0))=0,"",INDEX('02_DS_Nhan_Viec'!$H:$H,MATCH($B25,'02_DS_Nhan_Viec'!$B:$B,0))),""))</f>
      </c>
      <c r="AB25" s="60">
        <f t="array" ref="AB25">IF($B25="","",IFERROR(IF(INDEX('02_DS_Nhan_Viec'!$I:$I,MATCH($B25,'02_DS_Nhan_Viec'!$B:$B,0))=0,"",INDEX('02_DS_Nhan_Viec'!$I:$I,MATCH($B25,'02_DS_Nhan_Viec'!$B:$B,0))),""))</f>
      </c>
      <c r="AC25" s="61">
        <f t="array" ref="AC25">IF($B25="","",IF($C25="","Đang theo dõi",IF(OR(IFERROR(INDEX('05_Theo_Doi_Gio_Cong_7_Ngay'!$R:$R,MATCH($C25,'05_Theo_Doi_Gio_Cong_7_Ngay'!$B:$B,0)),"")="",IFERROR(INDEX('05_Theo_Doi_Gio_Cong_7_Ngay'!$R:$R,MATCH($C25,'05_Theo_Doi_Gio_Cong_7_Ngay'!$B:$B,0)),0)=0),"Đang theo dõi",IFERROR(INDEX('06_DS_Chinh_Thuc'!$K:$K,MATCH(IFERROR(INDEX('05_Theo_Doi_Gio_Cong_7_Ngay'!$R:$R,MATCH($C25,'05_Theo_Doi_Gio_Cong_7_Ngay'!$B:$B,0)),0),'06_DS_Chinh_Thuc'!$B:$B,0)),"Đang theo dõi"))))</f>
      </c>
    </row>
    <row r="26" ht="14.25" customHeight="1" spans="1:29" x14ac:dyDescent="0.25">
      <c r="A26" s="52">
        <f t="shared" si="0"/>
      </c>
      <c r="B26" s="52">
        <f t="array" ref="B26">IFERROR(INDEX('02_DS_Nhan_Viec'!$B:$B,MATCH(25,'02_DS_Nhan_Viec'!$M:$M,0)),"")</f>
      </c>
      <c r="C26" s="52">
        <f t="array" ref="C26">IF($B26="","",IFERROR(IF(INDEX('02_DS_Nhan_Viec'!$J:$J,MATCH($B26,'02_DS_Nhan_Viec'!$B:$B,0))=0,"",INDEX('02_DS_Nhan_Viec'!$J:$J,MATCH($B26,'02_DS_Nhan_Viec'!$B:$B,0))),""))</f>
      </c>
      <c r="D26" s="52">
        <f t="array" ref="D26">IF($C26="","",IFERROR(IF(INDEX('05_Theo_Doi_Gio_Cong_7_Ngay'!$R:$R,MATCH($C26,'05_Theo_Doi_Gio_Cong_7_Ngay'!$B:$B,0))=0,"",INDEX('05_Theo_Doi_Gio_Cong_7_Ngay'!$R:$R,MATCH($C26,'05_Theo_Doi_Gio_Cong_7_Ngay'!$B:$B,0))),""))</f>
      </c>
      <c r="E26" s="60">
        <f t="array" ref="E26">IF($B26="","",IFERROR(IF(INDEX('01_UngVien_PhongVan'!$D:$D,MATCH($B26,'01_UngVien_PhongVan'!$B:$B,0))=0,"",INDEX('01_UngVien_PhongVan'!$D:$D,MATCH($B26,'01_UngVien_PhongVan'!$B:$B,0))),""))</f>
      </c>
      <c r="F26" s="52">
        <f t="array" ref="F26">IF($B26="","",IFERROR(IF(INDEX('01_UngVien_PhongVan'!$F:$F,MATCH($B26,'01_UngVien_PhongVan'!$B:$B,0))=0,"",INDEX('01_UngVien_PhongVan'!$F:$F,MATCH($B26,'01_UngVien_PhongVan'!$B:$B,0))),""))</f>
      </c>
      <c r="G26" s="72">
        <f t="array" ref="G26">IF($B26="","",IFERROR(IF(INDEX('01_UngVien_PhongVan'!$G:$G,MATCH($B26,'01_UngVien_PhongVan'!$B:$B,0))=0,"",INDEX('01_UngVien_PhongVan'!$G:$G,MATCH($B26,'01_UngVien_PhongVan'!$B:$B,0))),""))</f>
      </c>
      <c r="H26" s="52">
        <f t="array" ref="H26">IF($B26="","",IFERROR(IF(INDEX('01_UngVien_PhongVan'!$H:$H,MATCH($B26,'01_UngVien_PhongVan'!$B:$B,0))=0,"",INDEX('01_UngVien_PhongVan'!$H:$H,MATCH($B26,'01_UngVien_PhongVan'!$B:$B,0))),""))</f>
      </c>
      <c r="I26" s="60">
        <f t="array" ref="I26">IF($B26="","",IFERROR(IF(INDEX('01_UngVien_PhongVan'!$I:$I,MATCH($B26,'01_UngVien_PhongVan'!$B:$B,0))=0,"",INDEX('01_UngVien_PhongVan'!$I:$I,MATCH($B26,'01_UngVien_PhongVan'!$B:$B,0))),""))</f>
      </c>
      <c r="J26" s="60">
        <f t="array" ref="J26">IF($B26="","",IFERROR(IF(INDEX('01_UngVien_PhongVan'!$J:$J,MATCH($B26,'01_UngVien_PhongVan'!$B:$B,0))=0,"",INDEX('01_UngVien_PhongVan'!$J:$J,MATCH($B26,'01_UngVien_PhongVan'!$B:$B,0))),""))</f>
      </c>
      <c r="K26" s="73">
        <f t="array" ref="K26">IF($B26="","",IFERROR(IF(INDEX('01_UngVien_PhongVan'!$K:$K,MATCH($B26,'01_UngVien_PhongVan'!$B:$B,0))=0,"",INDEX('01_UngVien_PhongVan'!$K:$K,MATCH($B26,'01_UngVien_PhongVan'!$B:$B,0))),""))</f>
      </c>
      <c r="L26" s="60">
        <f t="array" ref="L26">IF($B26="","",IFERROR(IF(INDEX('01_UngVien_PhongVan'!$L:$L,MATCH($B26,'01_UngVien_PhongVan'!$B:$B,0))=0,"",INDEX('01_UngVien_PhongVan'!$L:$L,MATCH($B26,'01_UngVien_PhongVan'!$B:$B,0))),""))</f>
      </c>
      <c r="M26" s="60">
        <f t="array" ref="M26">IF($B26="","",IFERROR(IF(INDEX('01_UngVien_PhongVan'!$E:$E,MATCH($B26,'01_UngVien_PhongVan'!$B:$B,0))=0,"",INDEX('01_UngVien_PhongVan'!$E:$E,MATCH($B26,'01_UngVien_PhongVan'!$B:$B,0))),""))</f>
      </c>
      <c r="N26" s="60">
        <f t="array" ref="N26">IF($B26="","",IFERROR(IF(INDEX('01_UngVien_PhongVan'!$M:$M,MATCH($B26,'01_UngVien_PhongVan'!$B:$B,0))=0,"",INDEX('01_UngVien_PhongVan'!$M:$M,MATCH($B26,'01_UngVien_PhongVan'!$B:$B,0))),""))</f>
      </c>
      <c r="O26" s="60">
        <f t="array" ref="O26">IF($B26="","",IFERROR(IF(INDEX('01_UngVien_PhongVan'!$N:$N,MATCH($B26,'01_UngVien_PhongVan'!$B:$B,0))=0,"",INDEX('01_UngVien_PhongVan'!$N:$N,MATCH($B26,'01_UngVien_PhongVan'!$B:$B,0))),""))</f>
      </c>
      <c r="P26" s="60">
        <f t="array" ref="P26">IF($B26="","",IFERROR(IF(INDEX('01_UngVien_PhongVan'!$O:$O,MATCH($B26,'01_UngVien_PhongVan'!$B:$B,0))=0,"",INDEX('01_UngVien_PhongVan'!$O:$O,MATCH($B26,'01_UngVien_PhongVan'!$B:$B,0))),""))</f>
      </c>
      <c r="Q26" s="60">
        <f t="array" ref="Q26">IF($B26="","",IFERROR(IF(INDEX('01_UngVien_PhongVan'!$P:$P,MATCH($B26,'01_UngVien_PhongVan'!$B:$B,0))=0,"",INDEX('01_UngVien_PhongVan'!$P:$P,MATCH($B26,'01_UngVien_PhongVan'!$B:$B,0))),""))</f>
      </c>
      <c r="R26" s="60">
        <f t="array" ref="R26">IF($B26="","",IFERROR(IF(INDEX('01_UngVien_PhongVan'!$Q:$Q,MATCH($B26,'01_UngVien_PhongVan'!$B:$B,0))=0,"",INDEX('01_UngVien_PhongVan'!$Q:$Q,MATCH($B26,'01_UngVien_PhongVan'!$B:$B,0))),""))</f>
      </c>
      <c r="S26" s="60">
        <f t="array" ref="S26">IF($B26="","",IFERROR(IF(INDEX('01_UngVien_PhongVan'!$R:$R,MATCH($B26,'01_UngVien_PhongVan'!$B:$B,0))=0,"",INDEX('01_UngVien_PhongVan'!$R:$R,MATCH($B26,'01_UngVien_PhongVan'!$B:$B,0))),""))</f>
      </c>
      <c r="T26" s="60">
        <f t="array" ref="T26">IF($B26="","",IFERROR(IF(INDEX('01_UngVien_PhongVan'!$U:$U,MATCH($B26,'01_UngVien_PhongVan'!$B:$B,0))=0,"",INDEX('01_UngVien_PhongVan'!$U:$U,MATCH($B26,'01_UngVien_PhongVan'!$B:$B,0))),""))</f>
      </c>
      <c r="U26" s="73">
        <f t="array" ref="U26">IF($B26="","",IFERROR(IF(INDEX('01_UngVien_PhongVan'!$C:$C,MATCH($B26,'01_UngVien_PhongVan'!$B:$B,0))=0,"",INDEX('01_UngVien_PhongVan'!$C:$C,MATCH($B26,'01_UngVien_PhongVan'!$B:$B,0))),""))</f>
      </c>
      <c r="V26" s="73">
        <f t="array" ref="V26">IF($B26="","",IFERROR(IF(INDEX('02_DS_Nhan_Viec'!$D:$D,MATCH($B26,'02_DS_Nhan_Viec'!$B:$B,0))=0,"",INDEX('02_DS_Nhan_Viec'!$D:$D,MATCH($B26,'02_DS_Nhan_Viec'!$B:$B,0))),""))</f>
      </c>
      <c r="W26" s="73">
        <f t="array" ref="W26">IF($B26="","",IFERROR(IF(INDEX('02_DS_Nhan_Viec'!$E:$E,MATCH($B26,'02_DS_Nhan_Viec'!$B:$B,0))=0,"",INDEX('02_DS_Nhan_Viec'!$E:$E,MATCH($B26,'02_DS_Nhan_Viec'!$B:$B,0))),""))</f>
      </c>
      <c r="X26" s="73">
        <f t="array" ref="X26">IF($C26="","",IFERROR(IF(INDEX('05_Theo_Doi_Gio_Cong_7_Ngay'!$P:$P,MATCH($C26,'05_Theo_Doi_Gio_Cong_7_Ngay'!$B:$B,0))=0,"",INDEX('05_Theo_Doi_Gio_Cong_7_Ngay'!$P:$P,MATCH($C26,'05_Theo_Doi_Gio_Cong_7_Ngay'!$B:$B,0))),""))</f>
      </c>
      <c r="Y26" s="60">
        <f t="array" ref="Y26">IF($C26="","",IFERROR(IF(INDEX('05_Theo_Doi_Gio_Cong_7_Ngay'!$M:$M,MATCH($C26,'05_Theo_Doi_Gio_Cong_7_Ngay'!$B:$B,0))=0,"",INDEX('05_Theo_Doi_Gio_Cong_7_Ngay'!$M:$M,MATCH($C26,'05_Theo_Doi_Gio_Cong_7_Ngay'!$B:$B,0))),""))</f>
      </c>
      <c r="Z26" s="60">
        <f t="array" ref="Z26">IF($C26="","",IFERROR(IF(INDEX('05_Theo_Doi_Gio_Cong_7_Ngay'!$Q:$Q,MATCH($C26,'05_Theo_Doi_Gio_Cong_7_Ngay'!$B:$B,0))=0,"",INDEX('05_Theo_Doi_Gio_Cong_7_Ngay'!$Q:$Q,MATCH($C26,'05_Theo_Doi_Gio_Cong_7_Ngay'!$B:$B,0))),""))</f>
      </c>
      <c r="AA26" s="60">
        <f t="array" ref="AA26">IF($B26="","",IFERROR(IF(INDEX('02_DS_Nhan_Viec'!$H:$H,MATCH($B26,'02_DS_Nhan_Viec'!$B:$B,0))=0,"",INDEX('02_DS_Nhan_Viec'!$H:$H,MATCH($B26,'02_DS_Nhan_Viec'!$B:$B,0))),""))</f>
      </c>
      <c r="AB26" s="60">
        <f t="array" ref="AB26">IF($B26="","",IFERROR(IF(INDEX('02_DS_Nhan_Viec'!$I:$I,MATCH($B26,'02_DS_Nhan_Viec'!$B:$B,0))=0,"",INDEX('02_DS_Nhan_Viec'!$I:$I,MATCH($B26,'02_DS_Nhan_Viec'!$B:$B,0))),""))</f>
      </c>
      <c r="AC26" s="61">
        <f t="array" ref="AC26">IF($B26="","",IF($C26="","Đang theo dõi",IF(OR(IFERROR(INDEX('05_Theo_Doi_Gio_Cong_7_Ngay'!$R:$R,MATCH($C26,'05_Theo_Doi_Gio_Cong_7_Ngay'!$B:$B,0)),"")="",IFERROR(INDEX('05_Theo_Doi_Gio_Cong_7_Ngay'!$R:$R,MATCH($C26,'05_Theo_Doi_Gio_Cong_7_Ngay'!$B:$B,0)),0)=0),"Đang theo dõi",IFERROR(INDEX('06_DS_Chinh_Thuc'!$K:$K,MATCH(IFERROR(INDEX('05_Theo_Doi_Gio_Cong_7_Ngay'!$R:$R,MATCH($C26,'05_Theo_Doi_Gio_Cong_7_Ngay'!$B:$B,0)),0),'06_DS_Chinh_Thuc'!$B:$B,0)),"Đang theo dõi"))))</f>
      </c>
    </row>
    <row r="27" ht="14.25" customHeight="1" spans="1:29" x14ac:dyDescent="0.25">
      <c r="A27" s="52">
        <f t="shared" si="0"/>
      </c>
      <c r="B27" s="52">
        <f t="array" ref="B27">IFERROR(INDEX('02_DS_Nhan_Viec'!$B:$B,MATCH(26,'02_DS_Nhan_Viec'!$M:$M,0)),"")</f>
      </c>
      <c r="C27" s="52">
        <f t="array" ref="C27">IF($B27="","",IFERROR(IF(INDEX('02_DS_Nhan_Viec'!$J:$J,MATCH($B27,'02_DS_Nhan_Viec'!$B:$B,0))=0,"",INDEX('02_DS_Nhan_Viec'!$J:$J,MATCH($B27,'02_DS_Nhan_Viec'!$B:$B,0))),""))</f>
      </c>
      <c r="D27" s="52">
        <f t="array" ref="D27">IF($C27="","",IFERROR(IF(INDEX('05_Theo_Doi_Gio_Cong_7_Ngay'!$R:$R,MATCH($C27,'05_Theo_Doi_Gio_Cong_7_Ngay'!$B:$B,0))=0,"",INDEX('05_Theo_Doi_Gio_Cong_7_Ngay'!$R:$R,MATCH($C27,'05_Theo_Doi_Gio_Cong_7_Ngay'!$B:$B,0))),""))</f>
      </c>
      <c r="E27" s="60">
        <f t="array" ref="E27">IF($B27="","",IFERROR(IF(INDEX('01_UngVien_PhongVan'!$D:$D,MATCH($B27,'01_UngVien_PhongVan'!$B:$B,0))=0,"",INDEX('01_UngVien_PhongVan'!$D:$D,MATCH($B27,'01_UngVien_PhongVan'!$B:$B,0))),""))</f>
      </c>
      <c r="F27" s="52">
        <f t="array" ref="F27">IF($B27="","",IFERROR(IF(INDEX('01_UngVien_PhongVan'!$F:$F,MATCH($B27,'01_UngVien_PhongVan'!$B:$B,0))=0,"",INDEX('01_UngVien_PhongVan'!$F:$F,MATCH($B27,'01_UngVien_PhongVan'!$B:$B,0))),""))</f>
      </c>
      <c r="G27" s="72">
        <f t="array" ref="G27">IF($B27="","",IFERROR(IF(INDEX('01_UngVien_PhongVan'!$G:$G,MATCH($B27,'01_UngVien_PhongVan'!$B:$B,0))=0,"",INDEX('01_UngVien_PhongVan'!$G:$G,MATCH($B27,'01_UngVien_PhongVan'!$B:$B,0))),""))</f>
      </c>
      <c r="H27" s="52">
        <f t="array" ref="H27">IF($B27="","",IFERROR(IF(INDEX('01_UngVien_PhongVan'!$H:$H,MATCH($B27,'01_UngVien_PhongVan'!$B:$B,0))=0,"",INDEX('01_UngVien_PhongVan'!$H:$H,MATCH($B27,'01_UngVien_PhongVan'!$B:$B,0))),""))</f>
      </c>
      <c r="I27" s="60">
        <f t="array" ref="I27">IF($B27="","",IFERROR(IF(INDEX('01_UngVien_PhongVan'!$I:$I,MATCH($B27,'01_UngVien_PhongVan'!$B:$B,0))=0,"",INDEX('01_UngVien_PhongVan'!$I:$I,MATCH($B27,'01_UngVien_PhongVan'!$B:$B,0))),""))</f>
      </c>
      <c r="J27" s="60">
        <f t="array" ref="J27">IF($B27="","",IFERROR(IF(INDEX('01_UngVien_PhongVan'!$J:$J,MATCH($B27,'01_UngVien_PhongVan'!$B:$B,0))=0,"",INDEX('01_UngVien_PhongVan'!$J:$J,MATCH($B27,'01_UngVien_PhongVan'!$B:$B,0))),""))</f>
      </c>
      <c r="K27" s="73">
        <f t="array" ref="K27">IF($B27="","",IFERROR(IF(INDEX('01_UngVien_PhongVan'!$K:$K,MATCH($B27,'01_UngVien_PhongVan'!$B:$B,0))=0,"",INDEX('01_UngVien_PhongVan'!$K:$K,MATCH($B27,'01_UngVien_PhongVan'!$B:$B,0))),""))</f>
      </c>
      <c r="L27" s="60">
        <f t="array" ref="L27">IF($B27="","",IFERROR(IF(INDEX('01_UngVien_PhongVan'!$L:$L,MATCH($B27,'01_UngVien_PhongVan'!$B:$B,0))=0,"",INDEX('01_UngVien_PhongVan'!$L:$L,MATCH($B27,'01_UngVien_PhongVan'!$B:$B,0))),""))</f>
      </c>
      <c r="M27" s="60">
        <f t="array" ref="M27">IF($B27="","",IFERROR(IF(INDEX('01_UngVien_PhongVan'!$E:$E,MATCH($B27,'01_UngVien_PhongVan'!$B:$B,0))=0,"",INDEX('01_UngVien_PhongVan'!$E:$E,MATCH($B27,'01_UngVien_PhongVan'!$B:$B,0))),""))</f>
      </c>
      <c r="N27" s="60">
        <f t="array" ref="N27">IF($B27="","",IFERROR(IF(INDEX('01_UngVien_PhongVan'!$M:$M,MATCH($B27,'01_UngVien_PhongVan'!$B:$B,0))=0,"",INDEX('01_UngVien_PhongVan'!$M:$M,MATCH($B27,'01_UngVien_PhongVan'!$B:$B,0))),""))</f>
      </c>
      <c r="O27" s="60">
        <f t="array" ref="O27">IF($B27="","",IFERROR(IF(INDEX('01_UngVien_PhongVan'!$N:$N,MATCH($B27,'01_UngVien_PhongVan'!$B:$B,0))=0,"",INDEX('01_UngVien_PhongVan'!$N:$N,MATCH($B27,'01_UngVien_PhongVan'!$B:$B,0))),""))</f>
      </c>
      <c r="P27" s="60">
        <f t="array" ref="P27">IF($B27="","",IFERROR(IF(INDEX('01_UngVien_PhongVan'!$O:$O,MATCH($B27,'01_UngVien_PhongVan'!$B:$B,0))=0,"",INDEX('01_UngVien_PhongVan'!$O:$O,MATCH($B27,'01_UngVien_PhongVan'!$B:$B,0))),""))</f>
      </c>
      <c r="Q27" s="60">
        <f t="array" ref="Q27">IF($B27="","",IFERROR(IF(INDEX('01_UngVien_PhongVan'!$P:$P,MATCH($B27,'01_UngVien_PhongVan'!$B:$B,0))=0,"",INDEX('01_UngVien_PhongVan'!$P:$P,MATCH($B27,'01_UngVien_PhongVan'!$B:$B,0))),""))</f>
      </c>
      <c r="R27" s="60">
        <f t="array" ref="R27">IF($B27="","",IFERROR(IF(INDEX('01_UngVien_PhongVan'!$Q:$Q,MATCH($B27,'01_UngVien_PhongVan'!$B:$B,0))=0,"",INDEX('01_UngVien_PhongVan'!$Q:$Q,MATCH($B27,'01_UngVien_PhongVan'!$B:$B,0))),""))</f>
      </c>
      <c r="S27" s="60">
        <f t="array" ref="S27">IF($B27="","",IFERROR(IF(INDEX('01_UngVien_PhongVan'!$R:$R,MATCH($B27,'01_UngVien_PhongVan'!$B:$B,0))=0,"",INDEX('01_UngVien_PhongVan'!$R:$R,MATCH($B27,'01_UngVien_PhongVan'!$B:$B,0))),""))</f>
      </c>
      <c r="T27" s="60">
        <f t="array" ref="T27">IF($B27="","",IFERROR(IF(INDEX('01_UngVien_PhongVan'!$U:$U,MATCH($B27,'01_UngVien_PhongVan'!$B:$B,0))=0,"",INDEX('01_UngVien_PhongVan'!$U:$U,MATCH($B27,'01_UngVien_PhongVan'!$B:$B,0))),""))</f>
      </c>
      <c r="U27" s="73">
        <f t="array" ref="U27">IF($B27="","",IFERROR(IF(INDEX('01_UngVien_PhongVan'!$C:$C,MATCH($B27,'01_UngVien_PhongVan'!$B:$B,0))=0,"",INDEX('01_UngVien_PhongVan'!$C:$C,MATCH($B27,'01_UngVien_PhongVan'!$B:$B,0))),""))</f>
      </c>
      <c r="V27" s="73">
        <f t="array" ref="V27">IF($B27="","",IFERROR(IF(INDEX('02_DS_Nhan_Viec'!$D:$D,MATCH($B27,'02_DS_Nhan_Viec'!$B:$B,0))=0,"",INDEX('02_DS_Nhan_Viec'!$D:$D,MATCH($B27,'02_DS_Nhan_Viec'!$B:$B,0))),""))</f>
      </c>
      <c r="W27" s="73">
        <f t="array" ref="W27">IF($B27="","",IFERROR(IF(INDEX('02_DS_Nhan_Viec'!$E:$E,MATCH($B27,'02_DS_Nhan_Viec'!$B:$B,0))=0,"",INDEX('02_DS_Nhan_Viec'!$E:$E,MATCH($B27,'02_DS_Nhan_Viec'!$B:$B,0))),""))</f>
      </c>
      <c r="X27" s="73">
        <f t="array" ref="X27">IF($C27="","",IFERROR(IF(INDEX('05_Theo_Doi_Gio_Cong_7_Ngay'!$P:$P,MATCH($C27,'05_Theo_Doi_Gio_Cong_7_Ngay'!$B:$B,0))=0,"",INDEX('05_Theo_Doi_Gio_Cong_7_Ngay'!$P:$P,MATCH($C27,'05_Theo_Doi_Gio_Cong_7_Ngay'!$B:$B,0))),""))</f>
      </c>
      <c r="Y27" s="60">
        <f t="array" ref="Y27">IF($C27="","",IFERROR(IF(INDEX('05_Theo_Doi_Gio_Cong_7_Ngay'!$M:$M,MATCH($C27,'05_Theo_Doi_Gio_Cong_7_Ngay'!$B:$B,0))=0,"",INDEX('05_Theo_Doi_Gio_Cong_7_Ngay'!$M:$M,MATCH($C27,'05_Theo_Doi_Gio_Cong_7_Ngay'!$B:$B,0))),""))</f>
      </c>
      <c r="Z27" s="60">
        <f t="array" ref="Z27">IF($C27="","",IFERROR(IF(INDEX('05_Theo_Doi_Gio_Cong_7_Ngay'!$Q:$Q,MATCH($C27,'05_Theo_Doi_Gio_Cong_7_Ngay'!$B:$B,0))=0,"",INDEX('05_Theo_Doi_Gio_Cong_7_Ngay'!$Q:$Q,MATCH($C27,'05_Theo_Doi_Gio_Cong_7_Ngay'!$B:$B,0))),""))</f>
      </c>
      <c r="AA27" s="60">
        <f t="array" ref="AA27">IF($B27="","",IFERROR(IF(INDEX('02_DS_Nhan_Viec'!$H:$H,MATCH($B27,'02_DS_Nhan_Viec'!$B:$B,0))=0,"",INDEX('02_DS_Nhan_Viec'!$H:$H,MATCH($B27,'02_DS_Nhan_Viec'!$B:$B,0))),""))</f>
      </c>
      <c r="AB27" s="60">
        <f t="array" ref="AB27">IF($B27="","",IFERROR(IF(INDEX('02_DS_Nhan_Viec'!$I:$I,MATCH($B27,'02_DS_Nhan_Viec'!$B:$B,0))=0,"",INDEX('02_DS_Nhan_Viec'!$I:$I,MATCH($B27,'02_DS_Nhan_Viec'!$B:$B,0))),""))</f>
      </c>
      <c r="AC27" s="61">
        <f t="array" ref="AC27">IF($B27="","",IF($C27="","Đang theo dõi",IF(OR(IFERROR(INDEX('05_Theo_Doi_Gio_Cong_7_Ngay'!$R:$R,MATCH($C27,'05_Theo_Doi_Gio_Cong_7_Ngay'!$B:$B,0)),"")="",IFERROR(INDEX('05_Theo_Doi_Gio_Cong_7_Ngay'!$R:$R,MATCH($C27,'05_Theo_Doi_Gio_Cong_7_Ngay'!$B:$B,0)),0)=0),"Đang theo dõi",IFERROR(INDEX('06_DS_Chinh_Thuc'!$K:$K,MATCH(IFERROR(INDEX('05_Theo_Doi_Gio_Cong_7_Ngay'!$R:$R,MATCH($C27,'05_Theo_Doi_Gio_Cong_7_Ngay'!$B:$B,0)),0),'06_DS_Chinh_Thuc'!$B:$B,0)),"Đang theo dõi"))))</f>
      </c>
    </row>
    <row r="28" ht="14.25" customHeight="1" spans="1:29" x14ac:dyDescent="0.25">
      <c r="A28" s="52">
        <f t="shared" si="0"/>
      </c>
      <c r="B28" s="52">
        <f t="array" ref="B28">IFERROR(INDEX('02_DS_Nhan_Viec'!$B:$B,MATCH(27,'02_DS_Nhan_Viec'!$M:$M,0)),"")</f>
      </c>
      <c r="C28" s="52">
        <f t="array" ref="C28">IF($B28="","",IFERROR(IF(INDEX('02_DS_Nhan_Viec'!$J:$J,MATCH($B28,'02_DS_Nhan_Viec'!$B:$B,0))=0,"",INDEX('02_DS_Nhan_Viec'!$J:$J,MATCH($B28,'02_DS_Nhan_Viec'!$B:$B,0))),""))</f>
      </c>
      <c r="D28" s="52">
        <f t="array" ref="D28">IF($C28="","",IFERROR(IF(INDEX('05_Theo_Doi_Gio_Cong_7_Ngay'!$R:$R,MATCH($C28,'05_Theo_Doi_Gio_Cong_7_Ngay'!$B:$B,0))=0,"",INDEX('05_Theo_Doi_Gio_Cong_7_Ngay'!$R:$R,MATCH($C28,'05_Theo_Doi_Gio_Cong_7_Ngay'!$B:$B,0))),""))</f>
      </c>
      <c r="E28" s="60">
        <f t="array" ref="E28">IF($B28="","",IFERROR(IF(INDEX('01_UngVien_PhongVan'!$D:$D,MATCH($B28,'01_UngVien_PhongVan'!$B:$B,0))=0,"",INDEX('01_UngVien_PhongVan'!$D:$D,MATCH($B28,'01_UngVien_PhongVan'!$B:$B,0))),""))</f>
      </c>
      <c r="F28" s="52">
        <f t="array" ref="F28">IF($B28="","",IFERROR(IF(INDEX('01_UngVien_PhongVan'!$F:$F,MATCH($B28,'01_UngVien_PhongVan'!$B:$B,0))=0,"",INDEX('01_UngVien_PhongVan'!$F:$F,MATCH($B28,'01_UngVien_PhongVan'!$B:$B,0))),""))</f>
      </c>
      <c r="G28" s="72">
        <f t="array" ref="G28">IF($B28="","",IFERROR(IF(INDEX('01_UngVien_PhongVan'!$G:$G,MATCH($B28,'01_UngVien_PhongVan'!$B:$B,0))=0,"",INDEX('01_UngVien_PhongVan'!$G:$G,MATCH($B28,'01_UngVien_PhongVan'!$B:$B,0))),""))</f>
      </c>
      <c r="H28" s="52">
        <f t="array" ref="H28">IF($B28="","",IFERROR(IF(INDEX('01_UngVien_PhongVan'!$H:$H,MATCH($B28,'01_UngVien_PhongVan'!$B:$B,0))=0,"",INDEX('01_UngVien_PhongVan'!$H:$H,MATCH($B28,'01_UngVien_PhongVan'!$B:$B,0))),""))</f>
      </c>
      <c r="I28" s="60">
        <f t="array" ref="I28">IF($B28="","",IFERROR(IF(INDEX('01_UngVien_PhongVan'!$I:$I,MATCH($B28,'01_UngVien_PhongVan'!$B:$B,0))=0,"",INDEX('01_UngVien_PhongVan'!$I:$I,MATCH($B28,'01_UngVien_PhongVan'!$B:$B,0))),""))</f>
      </c>
      <c r="J28" s="60">
        <f t="array" ref="J28">IF($B28="","",IFERROR(IF(INDEX('01_UngVien_PhongVan'!$J:$J,MATCH($B28,'01_UngVien_PhongVan'!$B:$B,0))=0,"",INDEX('01_UngVien_PhongVan'!$J:$J,MATCH($B28,'01_UngVien_PhongVan'!$B:$B,0))),""))</f>
      </c>
      <c r="K28" s="73">
        <f t="array" ref="K28">IF($B28="","",IFERROR(IF(INDEX('01_UngVien_PhongVan'!$K:$K,MATCH($B28,'01_UngVien_PhongVan'!$B:$B,0))=0,"",INDEX('01_UngVien_PhongVan'!$K:$K,MATCH($B28,'01_UngVien_PhongVan'!$B:$B,0))),""))</f>
      </c>
      <c r="L28" s="60">
        <f t="array" ref="L28">IF($B28="","",IFERROR(IF(INDEX('01_UngVien_PhongVan'!$L:$L,MATCH($B28,'01_UngVien_PhongVan'!$B:$B,0))=0,"",INDEX('01_UngVien_PhongVan'!$L:$L,MATCH($B28,'01_UngVien_PhongVan'!$B:$B,0))),""))</f>
      </c>
      <c r="M28" s="60">
        <f t="array" ref="M28">IF($B28="","",IFERROR(IF(INDEX('01_UngVien_PhongVan'!$E:$E,MATCH($B28,'01_UngVien_PhongVan'!$B:$B,0))=0,"",INDEX('01_UngVien_PhongVan'!$E:$E,MATCH($B28,'01_UngVien_PhongVan'!$B:$B,0))),""))</f>
      </c>
      <c r="N28" s="60">
        <f t="array" ref="N28">IF($B28="","",IFERROR(IF(INDEX('01_UngVien_PhongVan'!$M:$M,MATCH($B28,'01_UngVien_PhongVan'!$B:$B,0))=0,"",INDEX('01_UngVien_PhongVan'!$M:$M,MATCH($B28,'01_UngVien_PhongVan'!$B:$B,0))),""))</f>
      </c>
      <c r="O28" s="60">
        <f t="array" ref="O28">IF($B28="","",IFERROR(IF(INDEX('01_UngVien_PhongVan'!$N:$N,MATCH($B28,'01_UngVien_PhongVan'!$B:$B,0))=0,"",INDEX('01_UngVien_PhongVan'!$N:$N,MATCH($B28,'01_UngVien_PhongVan'!$B:$B,0))),""))</f>
      </c>
      <c r="P28" s="60">
        <f t="array" ref="P28">IF($B28="","",IFERROR(IF(INDEX('01_UngVien_PhongVan'!$O:$O,MATCH($B28,'01_UngVien_PhongVan'!$B:$B,0))=0,"",INDEX('01_UngVien_PhongVan'!$O:$O,MATCH($B28,'01_UngVien_PhongVan'!$B:$B,0))),""))</f>
      </c>
      <c r="Q28" s="60">
        <f t="array" ref="Q28">IF($B28="","",IFERROR(IF(INDEX('01_UngVien_PhongVan'!$P:$P,MATCH($B28,'01_UngVien_PhongVan'!$B:$B,0))=0,"",INDEX('01_UngVien_PhongVan'!$P:$P,MATCH($B28,'01_UngVien_PhongVan'!$B:$B,0))),""))</f>
      </c>
      <c r="R28" s="60">
        <f t="array" ref="R28">IF($B28="","",IFERROR(IF(INDEX('01_UngVien_PhongVan'!$Q:$Q,MATCH($B28,'01_UngVien_PhongVan'!$B:$B,0))=0,"",INDEX('01_UngVien_PhongVan'!$Q:$Q,MATCH($B28,'01_UngVien_PhongVan'!$B:$B,0))),""))</f>
      </c>
      <c r="S28" s="60">
        <f t="array" ref="S28">IF($B28="","",IFERROR(IF(INDEX('01_UngVien_PhongVan'!$R:$R,MATCH($B28,'01_UngVien_PhongVan'!$B:$B,0))=0,"",INDEX('01_UngVien_PhongVan'!$R:$R,MATCH($B28,'01_UngVien_PhongVan'!$B:$B,0))),""))</f>
      </c>
      <c r="T28" s="60">
        <f t="array" ref="T28">IF($B28="","",IFERROR(IF(INDEX('01_UngVien_PhongVan'!$U:$U,MATCH($B28,'01_UngVien_PhongVan'!$B:$B,0))=0,"",INDEX('01_UngVien_PhongVan'!$U:$U,MATCH($B28,'01_UngVien_PhongVan'!$B:$B,0))),""))</f>
      </c>
      <c r="U28" s="73">
        <f t="array" ref="U28">IF($B28="","",IFERROR(IF(INDEX('01_UngVien_PhongVan'!$C:$C,MATCH($B28,'01_UngVien_PhongVan'!$B:$B,0))=0,"",INDEX('01_UngVien_PhongVan'!$C:$C,MATCH($B28,'01_UngVien_PhongVan'!$B:$B,0))),""))</f>
      </c>
      <c r="V28" s="73">
        <f t="array" ref="V28">IF($B28="","",IFERROR(IF(INDEX('02_DS_Nhan_Viec'!$D:$D,MATCH($B28,'02_DS_Nhan_Viec'!$B:$B,0))=0,"",INDEX('02_DS_Nhan_Viec'!$D:$D,MATCH($B28,'02_DS_Nhan_Viec'!$B:$B,0))),""))</f>
      </c>
      <c r="W28" s="73">
        <f t="array" ref="W28">IF($B28="","",IFERROR(IF(INDEX('02_DS_Nhan_Viec'!$E:$E,MATCH($B28,'02_DS_Nhan_Viec'!$B:$B,0))=0,"",INDEX('02_DS_Nhan_Viec'!$E:$E,MATCH($B28,'02_DS_Nhan_Viec'!$B:$B,0))),""))</f>
      </c>
      <c r="X28" s="73">
        <f t="array" ref="X28">IF($C28="","",IFERROR(IF(INDEX('05_Theo_Doi_Gio_Cong_7_Ngay'!$P:$P,MATCH($C28,'05_Theo_Doi_Gio_Cong_7_Ngay'!$B:$B,0))=0,"",INDEX('05_Theo_Doi_Gio_Cong_7_Ngay'!$P:$P,MATCH($C28,'05_Theo_Doi_Gio_Cong_7_Ngay'!$B:$B,0))),""))</f>
      </c>
      <c r="Y28" s="60">
        <f t="array" ref="Y28">IF($C28="","",IFERROR(IF(INDEX('05_Theo_Doi_Gio_Cong_7_Ngay'!$M:$M,MATCH($C28,'05_Theo_Doi_Gio_Cong_7_Ngay'!$B:$B,0))=0,"",INDEX('05_Theo_Doi_Gio_Cong_7_Ngay'!$M:$M,MATCH($C28,'05_Theo_Doi_Gio_Cong_7_Ngay'!$B:$B,0))),""))</f>
      </c>
      <c r="Z28" s="60">
        <f t="array" ref="Z28">IF($C28="","",IFERROR(IF(INDEX('05_Theo_Doi_Gio_Cong_7_Ngay'!$Q:$Q,MATCH($C28,'05_Theo_Doi_Gio_Cong_7_Ngay'!$B:$B,0))=0,"",INDEX('05_Theo_Doi_Gio_Cong_7_Ngay'!$Q:$Q,MATCH($C28,'05_Theo_Doi_Gio_Cong_7_Ngay'!$B:$B,0))),""))</f>
      </c>
      <c r="AA28" s="60">
        <f t="array" ref="AA28">IF($B28="","",IFERROR(IF(INDEX('02_DS_Nhan_Viec'!$H:$H,MATCH($B28,'02_DS_Nhan_Viec'!$B:$B,0))=0,"",INDEX('02_DS_Nhan_Viec'!$H:$H,MATCH($B28,'02_DS_Nhan_Viec'!$B:$B,0))),""))</f>
      </c>
      <c r="AB28" s="60">
        <f t="array" ref="AB28">IF($B28="","",IFERROR(IF(INDEX('02_DS_Nhan_Viec'!$I:$I,MATCH($B28,'02_DS_Nhan_Viec'!$B:$B,0))=0,"",INDEX('02_DS_Nhan_Viec'!$I:$I,MATCH($B28,'02_DS_Nhan_Viec'!$B:$B,0))),""))</f>
      </c>
      <c r="AC28" s="61">
        <f t="array" ref="AC28">IF($B28="","",IF($C28="","Đang theo dõi",IF(OR(IFERROR(INDEX('05_Theo_Doi_Gio_Cong_7_Ngay'!$R:$R,MATCH($C28,'05_Theo_Doi_Gio_Cong_7_Ngay'!$B:$B,0)),"")="",IFERROR(INDEX('05_Theo_Doi_Gio_Cong_7_Ngay'!$R:$R,MATCH($C28,'05_Theo_Doi_Gio_Cong_7_Ngay'!$B:$B,0)),0)=0),"Đang theo dõi",IFERROR(INDEX('06_DS_Chinh_Thuc'!$K:$K,MATCH(IFERROR(INDEX('05_Theo_Doi_Gio_Cong_7_Ngay'!$R:$R,MATCH($C28,'05_Theo_Doi_Gio_Cong_7_Ngay'!$B:$B,0)),0),'06_DS_Chinh_Thuc'!$B:$B,0)),"Đang theo dõi"))))</f>
      </c>
    </row>
    <row r="29" ht="14.25" customHeight="1" spans="1:29" x14ac:dyDescent="0.25">
      <c r="A29" s="52">
        <f t="shared" si="0"/>
      </c>
      <c r="B29" s="52">
        <f t="array" ref="B29">IFERROR(INDEX('02_DS_Nhan_Viec'!$B:$B,MATCH(28,'02_DS_Nhan_Viec'!$M:$M,0)),"")</f>
      </c>
      <c r="C29" s="52">
        <f t="array" ref="C29">IF($B29="","",IFERROR(IF(INDEX('02_DS_Nhan_Viec'!$J:$J,MATCH($B29,'02_DS_Nhan_Viec'!$B:$B,0))=0,"",INDEX('02_DS_Nhan_Viec'!$J:$J,MATCH($B29,'02_DS_Nhan_Viec'!$B:$B,0))),""))</f>
      </c>
      <c r="D29" s="52">
        <f t="array" ref="D29">IF($C29="","",IFERROR(IF(INDEX('05_Theo_Doi_Gio_Cong_7_Ngay'!$R:$R,MATCH($C29,'05_Theo_Doi_Gio_Cong_7_Ngay'!$B:$B,0))=0,"",INDEX('05_Theo_Doi_Gio_Cong_7_Ngay'!$R:$R,MATCH($C29,'05_Theo_Doi_Gio_Cong_7_Ngay'!$B:$B,0))),""))</f>
      </c>
      <c r="E29" s="60">
        <f t="array" ref="E29">IF($B29="","",IFERROR(IF(INDEX('01_UngVien_PhongVan'!$D:$D,MATCH($B29,'01_UngVien_PhongVan'!$B:$B,0))=0,"",INDEX('01_UngVien_PhongVan'!$D:$D,MATCH($B29,'01_UngVien_PhongVan'!$B:$B,0))),""))</f>
      </c>
      <c r="F29" s="52">
        <f t="array" ref="F29">IF($B29="","",IFERROR(IF(INDEX('01_UngVien_PhongVan'!$F:$F,MATCH($B29,'01_UngVien_PhongVan'!$B:$B,0))=0,"",INDEX('01_UngVien_PhongVan'!$F:$F,MATCH($B29,'01_UngVien_PhongVan'!$B:$B,0))),""))</f>
      </c>
      <c r="G29" s="72">
        <f t="array" ref="G29">IF($B29="","",IFERROR(IF(INDEX('01_UngVien_PhongVan'!$G:$G,MATCH($B29,'01_UngVien_PhongVan'!$B:$B,0))=0,"",INDEX('01_UngVien_PhongVan'!$G:$G,MATCH($B29,'01_UngVien_PhongVan'!$B:$B,0))),""))</f>
      </c>
      <c r="H29" s="52">
        <f t="array" ref="H29">IF($B29="","",IFERROR(IF(INDEX('01_UngVien_PhongVan'!$H:$H,MATCH($B29,'01_UngVien_PhongVan'!$B:$B,0))=0,"",INDEX('01_UngVien_PhongVan'!$H:$H,MATCH($B29,'01_UngVien_PhongVan'!$B:$B,0))),""))</f>
      </c>
      <c r="I29" s="60">
        <f t="array" ref="I29">IF($B29="","",IFERROR(IF(INDEX('01_UngVien_PhongVan'!$I:$I,MATCH($B29,'01_UngVien_PhongVan'!$B:$B,0))=0,"",INDEX('01_UngVien_PhongVan'!$I:$I,MATCH($B29,'01_UngVien_PhongVan'!$B:$B,0))),""))</f>
      </c>
      <c r="J29" s="60">
        <f t="array" ref="J29">IF($B29="","",IFERROR(IF(INDEX('01_UngVien_PhongVan'!$J:$J,MATCH($B29,'01_UngVien_PhongVan'!$B:$B,0))=0,"",INDEX('01_UngVien_PhongVan'!$J:$J,MATCH($B29,'01_UngVien_PhongVan'!$B:$B,0))),""))</f>
      </c>
      <c r="K29" s="73">
        <f t="array" ref="K29">IF($B29="","",IFERROR(IF(INDEX('01_UngVien_PhongVan'!$K:$K,MATCH($B29,'01_UngVien_PhongVan'!$B:$B,0))=0,"",INDEX('01_UngVien_PhongVan'!$K:$K,MATCH($B29,'01_UngVien_PhongVan'!$B:$B,0))),""))</f>
      </c>
      <c r="L29" s="60">
        <f t="array" ref="L29">IF($B29="","",IFERROR(IF(INDEX('01_UngVien_PhongVan'!$L:$L,MATCH($B29,'01_UngVien_PhongVan'!$B:$B,0))=0,"",INDEX('01_UngVien_PhongVan'!$L:$L,MATCH($B29,'01_UngVien_PhongVan'!$B:$B,0))),""))</f>
      </c>
      <c r="M29" s="60">
        <f t="array" ref="M29">IF($B29="","",IFERROR(IF(INDEX('01_UngVien_PhongVan'!$E:$E,MATCH($B29,'01_UngVien_PhongVan'!$B:$B,0))=0,"",INDEX('01_UngVien_PhongVan'!$E:$E,MATCH($B29,'01_UngVien_PhongVan'!$B:$B,0))),""))</f>
      </c>
      <c r="N29" s="60">
        <f t="array" ref="N29">IF($B29="","",IFERROR(IF(INDEX('01_UngVien_PhongVan'!$M:$M,MATCH($B29,'01_UngVien_PhongVan'!$B:$B,0))=0,"",INDEX('01_UngVien_PhongVan'!$M:$M,MATCH($B29,'01_UngVien_PhongVan'!$B:$B,0))),""))</f>
      </c>
      <c r="O29" s="60">
        <f t="array" ref="O29">IF($B29="","",IFERROR(IF(INDEX('01_UngVien_PhongVan'!$N:$N,MATCH($B29,'01_UngVien_PhongVan'!$B:$B,0))=0,"",INDEX('01_UngVien_PhongVan'!$N:$N,MATCH($B29,'01_UngVien_PhongVan'!$B:$B,0))),""))</f>
      </c>
      <c r="P29" s="60">
        <f t="array" ref="P29">IF($B29="","",IFERROR(IF(INDEX('01_UngVien_PhongVan'!$O:$O,MATCH($B29,'01_UngVien_PhongVan'!$B:$B,0))=0,"",INDEX('01_UngVien_PhongVan'!$O:$O,MATCH($B29,'01_UngVien_PhongVan'!$B:$B,0))),""))</f>
      </c>
      <c r="Q29" s="60">
        <f t="array" ref="Q29">IF($B29="","",IFERROR(IF(INDEX('01_UngVien_PhongVan'!$P:$P,MATCH($B29,'01_UngVien_PhongVan'!$B:$B,0))=0,"",INDEX('01_UngVien_PhongVan'!$P:$P,MATCH($B29,'01_UngVien_PhongVan'!$B:$B,0))),""))</f>
      </c>
      <c r="R29" s="60">
        <f t="array" ref="R29">IF($B29="","",IFERROR(IF(INDEX('01_UngVien_PhongVan'!$Q:$Q,MATCH($B29,'01_UngVien_PhongVan'!$B:$B,0))=0,"",INDEX('01_UngVien_PhongVan'!$Q:$Q,MATCH($B29,'01_UngVien_PhongVan'!$B:$B,0))),""))</f>
      </c>
      <c r="S29" s="60">
        <f t="array" ref="S29">IF($B29="","",IFERROR(IF(INDEX('01_UngVien_PhongVan'!$R:$R,MATCH($B29,'01_UngVien_PhongVan'!$B:$B,0))=0,"",INDEX('01_UngVien_PhongVan'!$R:$R,MATCH($B29,'01_UngVien_PhongVan'!$B:$B,0))),""))</f>
      </c>
      <c r="T29" s="60">
        <f t="array" ref="T29">IF($B29="","",IFERROR(IF(INDEX('01_UngVien_PhongVan'!$U:$U,MATCH($B29,'01_UngVien_PhongVan'!$B:$B,0))=0,"",INDEX('01_UngVien_PhongVan'!$U:$U,MATCH($B29,'01_UngVien_PhongVan'!$B:$B,0))),""))</f>
      </c>
      <c r="U29" s="73">
        <f t="array" ref="U29">IF($B29="","",IFERROR(IF(INDEX('01_UngVien_PhongVan'!$C:$C,MATCH($B29,'01_UngVien_PhongVan'!$B:$B,0))=0,"",INDEX('01_UngVien_PhongVan'!$C:$C,MATCH($B29,'01_UngVien_PhongVan'!$B:$B,0))),""))</f>
      </c>
      <c r="V29" s="73">
        <f t="array" ref="V29">IF($B29="","",IFERROR(IF(INDEX('02_DS_Nhan_Viec'!$D:$D,MATCH($B29,'02_DS_Nhan_Viec'!$B:$B,0))=0,"",INDEX('02_DS_Nhan_Viec'!$D:$D,MATCH($B29,'02_DS_Nhan_Viec'!$B:$B,0))),""))</f>
      </c>
      <c r="W29" s="73">
        <f t="array" ref="W29">IF($B29="","",IFERROR(IF(INDEX('02_DS_Nhan_Viec'!$E:$E,MATCH($B29,'02_DS_Nhan_Viec'!$B:$B,0))=0,"",INDEX('02_DS_Nhan_Viec'!$E:$E,MATCH($B29,'02_DS_Nhan_Viec'!$B:$B,0))),""))</f>
      </c>
      <c r="X29" s="73">
        <f t="array" ref="X29">IF($C29="","",IFERROR(IF(INDEX('05_Theo_Doi_Gio_Cong_7_Ngay'!$P:$P,MATCH($C29,'05_Theo_Doi_Gio_Cong_7_Ngay'!$B:$B,0))=0,"",INDEX('05_Theo_Doi_Gio_Cong_7_Ngay'!$P:$P,MATCH($C29,'05_Theo_Doi_Gio_Cong_7_Ngay'!$B:$B,0))),""))</f>
      </c>
      <c r="Y29" s="60">
        <f t="array" ref="Y29">IF($C29="","",IFERROR(IF(INDEX('05_Theo_Doi_Gio_Cong_7_Ngay'!$M:$M,MATCH($C29,'05_Theo_Doi_Gio_Cong_7_Ngay'!$B:$B,0))=0,"",INDEX('05_Theo_Doi_Gio_Cong_7_Ngay'!$M:$M,MATCH($C29,'05_Theo_Doi_Gio_Cong_7_Ngay'!$B:$B,0))),""))</f>
      </c>
      <c r="Z29" s="60">
        <f t="array" ref="Z29">IF($C29="","",IFERROR(IF(INDEX('05_Theo_Doi_Gio_Cong_7_Ngay'!$Q:$Q,MATCH($C29,'05_Theo_Doi_Gio_Cong_7_Ngay'!$B:$B,0))=0,"",INDEX('05_Theo_Doi_Gio_Cong_7_Ngay'!$Q:$Q,MATCH($C29,'05_Theo_Doi_Gio_Cong_7_Ngay'!$B:$B,0))),""))</f>
      </c>
      <c r="AA29" s="60">
        <f t="array" ref="AA29">IF($B29="","",IFERROR(IF(INDEX('02_DS_Nhan_Viec'!$H:$H,MATCH($B29,'02_DS_Nhan_Viec'!$B:$B,0))=0,"",INDEX('02_DS_Nhan_Viec'!$H:$H,MATCH($B29,'02_DS_Nhan_Viec'!$B:$B,0))),""))</f>
      </c>
      <c r="AB29" s="60">
        <f t="array" ref="AB29">IF($B29="","",IFERROR(IF(INDEX('02_DS_Nhan_Viec'!$I:$I,MATCH($B29,'02_DS_Nhan_Viec'!$B:$B,0))=0,"",INDEX('02_DS_Nhan_Viec'!$I:$I,MATCH($B29,'02_DS_Nhan_Viec'!$B:$B,0))),""))</f>
      </c>
      <c r="AC29" s="61">
        <f t="array" ref="AC29">IF($B29="","",IF($C29="","Đang theo dõi",IF(OR(IFERROR(INDEX('05_Theo_Doi_Gio_Cong_7_Ngay'!$R:$R,MATCH($C29,'05_Theo_Doi_Gio_Cong_7_Ngay'!$B:$B,0)),"")="",IFERROR(INDEX('05_Theo_Doi_Gio_Cong_7_Ngay'!$R:$R,MATCH($C29,'05_Theo_Doi_Gio_Cong_7_Ngay'!$B:$B,0)),0)=0),"Đang theo dõi",IFERROR(INDEX('06_DS_Chinh_Thuc'!$K:$K,MATCH(IFERROR(INDEX('05_Theo_Doi_Gio_Cong_7_Ngay'!$R:$R,MATCH($C29,'05_Theo_Doi_Gio_Cong_7_Ngay'!$B:$B,0)),0),'06_DS_Chinh_Thuc'!$B:$B,0)),"Đang theo dõi"))))</f>
      </c>
    </row>
    <row r="30" ht="14.25" customHeight="1" spans="1:29" x14ac:dyDescent="0.25">
      <c r="A30" s="52">
        <f t="shared" si="0"/>
      </c>
      <c r="B30" s="52">
        <f t="array" ref="B30">IFERROR(INDEX('02_DS_Nhan_Viec'!$B:$B,MATCH(29,'02_DS_Nhan_Viec'!$M:$M,0)),"")</f>
      </c>
      <c r="C30" s="52">
        <f t="array" ref="C30">IF($B30="","",IFERROR(IF(INDEX('02_DS_Nhan_Viec'!$J:$J,MATCH($B30,'02_DS_Nhan_Viec'!$B:$B,0))=0,"",INDEX('02_DS_Nhan_Viec'!$J:$J,MATCH($B30,'02_DS_Nhan_Viec'!$B:$B,0))),""))</f>
      </c>
      <c r="D30" s="52">
        <f t="array" ref="D30">IF($C30="","",IFERROR(IF(INDEX('05_Theo_Doi_Gio_Cong_7_Ngay'!$R:$R,MATCH($C30,'05_Theo_Doi_Gio_Cong_7_Ngay'!$B:$B,0))=0,"",INDEX('05_Theo_Doi_Gio_Cong_7_Ngay'!$R:$R,MATCH($C30,'05_Theo_Doi_Gio_Cong_7_Ngay'!$B:$B,0))),""))</f>
      </c>
      <c r="E30" s="60">
        <f t="array" ref="E30">IF($B30="","",IFERROR(IF(INDEX('01_UngVien_PhongVan'!$D:$D,MATCH($B30,'01_UngVien_PhongVan'!$B:$B,0))=0,"",INDEX('01_UngVien_PhongVan'!$D:$D,MATCH($B30,'01_UngVien_PhongVan'!$B:$B,0))),""))</f>
      </c>
      <c r="F30" s="52">
        <f t="array" ref="F30">IF($B30="","",IFERROR(IF(INDEX('01_UngVien_PhongVan'!$F:$F,MATCH($B30,'01_UngVien_PhongVan'!$B:$B,0))=0,"",INDEX('01_UngVien_PhongVan'!$F:$F,MATCH($B30,'01_UngVien_PhongVan'!$B:$B,0))),""))</f>
      </c>
      <c r="G30" s="72">
        <f t="array" ref="G30">IF($B30="","",IFERROR(IF(INDEX('01_UngVien_PhongVan'!$G:$G,MATCH($B30,'01_UngVien_PhongVan'!$B:$B,0))=0,"",INDEX('01_UngVien_PhongVan'!$G:$G,MATCH($B30,'01_UngVien_PhongVan'!$B:$B,0))),""))</f>
      </c>
      <c r="H30" s="52">
        <f t="array" ref="H30">IF($B30="","",IFERROR(IF(INDEX('01_UngVien_PhongVan'!$H:$H,MATCH($B30,'01_UngVien_PhongVan'!$B:$B,0))=0,"",INDEX('01_UngVien_PhongVan'!$H:$H,MATCH($B30,'01_UngVien_PhongVan'!$B:$B,0))),""))</f>
      </c>
      <c r="I30" s="60">
        <f t="array" ref="I30">IF($B30="","",IFERROR(IF(INDEX('01_UngVien_PhongVan'!$I:$I,MATCH($B30,'01_UngVien_PhongVan'!$B:$B,0))=0,"",INDEX('01_UngVien_PhongVan'!$I:$I,MATCH($B30,'01_UngVien_PhongVan'!$B:$B,0))),""))</f>
      </c>
      <c r="J30" s="60">
        <f t="array" ref="J30">IF($B30="","",IFERROR(IF(INDEX('01_UngVien_PhongVan'!$J:$J,MATCH($B30,'01_UngVien_PhongVan'!$B:$B,0))=0,"",INDEX('01_UngVien_PhongVan'!$J:$J,MATCH($B30,'01_UngVien_PhongVan'!$B:$B,0))),""))</f>
      </c>
      <c r="K30" s="73">
        <f t="array" ref="K30">IF($B30="","",IFERROR(IF(INDEX('01_UngVien_PhongVan'!$K:$K,MATCH($B30,'01_UngVien_PhongVan'!$B:$B,0))=0,"",INDEX('01_UngVien_PhongVan'!$K:$K,MATCH($B30,'01_UngVien_PhongVan'!$B:$B,0))),""))</f>
      </c>
      <c r="L30" s="60">
        <f t="array" ref="L30">IF($B30="","",IFERROR(IF(INDEX('01_UngVien_PhongVan'!$L:$L,MATCH($B30,'01_UngVien_PhongVan'!$B:$B,0))=0,"",INDEX('01_UngVien_PhongVan'!$L:$L,MATCH($B30,'01_UngVien_PhongVan'!$B:$B,0))),""))</f>
      </c>
      <c r="M30" s="60">
        <f t="array" ref="M30">IF($B30="","",IFERROR(IF(INDEX('01_UngVien_PhongVan'!$E:$E,MATCH($B30,'01_UngVien_PhongVan'!$B:$B,0))=0,"",INDEX('01_UngVien_PhongVan'!$E:$E,MATCH($B30,'01_UngVien_PhongVan'!$B:$B,0))),""))</f>
      </c>
      <c r="N30" s="60">
        <f t="array" ref="N30">IF($B30="","",IFERROR(IF(INDEX('01_UngVien_PhongVan'!$M:$M,MATCH($B30,'01_UngVien_PhongVan'!$B:$B,0))=0,"",INDEX('01_UngVien_PhongVan'!$M:$M,MATCH($B30,'01_UngVien_PhongVan'!$B:$B,0))),""))</f>
      </c>
      <c r="O30" s="60">
        <f t="array" ref="O30">IF($B30="","",IFERROR(IF(INDEX('01_UngVien_PhongVan'!$N:$N,MATCH($B30,'01_UngVien_PhongVan'!$B:$B,0))=0,"",INDEX('01_UngVien_PhongVan'!$N:$N,MATCH($B30,'01_UngVien_PhongVan'!$B:$B,0))),""))</f>
      </c>
      <c r="P30" s="60">
        <f t="array" ref="P30">IF($B30="","",IFERROR(IF(INDEX('01_UngVien_PhongVan'!$O:$O,MATCH($B30,'01_UngVien_PhongVan'!$B:$B,0))=0,"",INDEX('01_UngVien_PhongVan'!$O:$O,MATCH($B30,'01_UngVien_PhongVan'!$B:$B,0))),""))</f>
      </c>
      <c r="Q30" s="60">
        <f t="array" ref="Q30">IF($B30="","",IFERROR(IF(INDEX('01_UngVien_PhongVan'!$P:$P,MATCH($B30,'01_UngVien_PhongVan'!$B:$B,0))=0,"",INDEX('01_UngVien_PhongVan'!$P:$P,MATCH($B30,'01_UngVien_PhongVan'!$B:$B,0))),""))</f>
      </c>
      <c r="R30" s="60">
        <f t="array" ref="R30">IF($B30="","",IFERROR(IF(INDEX('01_UngVien_PhongVan'!$Q:$Q,MATCH($B30,'01_UngVien_PhongVan'!$B:$B,0))=0,"",INDEX('01_UngVien_PhongVan'!$Q:$Q,MATCH($B30,'01_UngVien_PhongVan'!$B:$B,0))),""))</f>
      </c>
      <c r="S30" s="60">
        <f t="array" ref="S30">IF($B30="","",IFERROR(IF(INDEX('01_UngVien_PhongVan'!$R:$R,MATCH($B30,'01_UngVien_PhongVan'!$B:$B,0))=0,"",INDEX('01_UngVien_PhongVan'!$R:$R,MATCH($B30,'01_UngVien_PhongVan'!$B:$B,0))),""))</f>
      </c>
      <c r="T30" s="60">
        <f t="array" ref="T30">IF($B30="","",IFERROR(IF(INDEX('01_UngVien_PhongVan'!$U:$U,MATCH($B30,'01_UngVien_PhongVan'!$B:$B,0))=0,"",INDEX('01_UngVien_PhongVan'!$U:$U,MATCH($B30,'01_UngVien_PhongVan'!$B:$B,0))),""))</f>
      </c>
      <c r="U30" s="73">
        <f t="array" ref="U30">IF($B30="","",IFERROR(IF(INDEX('01_UngVien_PhongVan'!$C:$C,MATCH($B30,'01_UngVien_PhongVan'!$B:$B,0))=0,"",INDEX('01_UngVien_PhongVan'!$C:$C,MATCH($B30,'01_UngVien_PhongVan'!$B:$B,0))),""))</f>
      </c>
      <c r="V30" s="73">
        <f t="array" ref="V30">IF($B30="","",IFERROR(IF(INDEX('02_DS_Nhan_Viec'!$D:$D,MATCH($B30,'02_DS_Nhan_Viec'!$B:$B,0))=0,"",INDEX('02_DS_Nhan_Viec'!$D:$D,MATCH($B30,'02_DS_Nhan_Viec'!$B:$B,0))),""))</f>
      </c>
      <c r="W30" s="73">
        <f t="array" ref="W30">IF($B30="","",IFERROR(IF(INDEX('02_DS_Nhan_Viec'!$E:$E,MATCH($B30,'02_DS_Nhan_Viec'!$B:$B,0))=0,"",INDEX('02_DS_Nhan_Viec'!$E:$E,MATCH($B30,'02_DS_Nhan_Viec'!$B:$B,0))),""))</f>
      </c>
      <c r="X30" s="73">
        <f t="array" ref="X30">IF($C30="","",IFERROR(IF(INDEX('05_Theo_Doi_Gio_Cong_7_Ngay'!$P:$P,MATCH($C30,'05_Theo_Doi_Gio_Cong_7_Ngay'!$B:$B,0))=0,"",INDEX('05_Theo_Doi_Gio_Cong_7_Ngay'!$P:$P,MATCH($C30,'05_Theo_Doi_Gio_Cong_7_Ngay'!$B:$B,0))),""))</f>
      </c>
      <c r="Y30" s="60">
        <f t="array" ref="Y30">IF($C30="","",IFERROR(IF(INDEX('05_Theo_Doi_Gio_Cong_7_Ngay'!$M:$M,MATCH($C30,'05_Theo_Doi_Gio_Cong_7_Ngay'!$B:$B,0))=0,"",INDEX('05_Theo_Doi_Gio_Cong_7_Ngay'!$M:$M,MATCH($C30,'05_Theo_Doi_Gio_Cong_7_Ngay'!$B:$B,0))),""))</f>
      </c>
      <c r="Z30" s="60">
        <f t="array" ref="Z30">IF($C30="","",IFERROR(IF(INDEX('05_Theo_Doi_Gio_Cong_7_Ngay'!$Q:$Q,MATCH($C30,'05_Theo_Doi_Gio_Cong_7_Ngay'!$B:$B,0))=0,"",INDEX('05_Theo_Doi_Gio_Cong_7_Ngay'!$Q:$Q,MATCH($C30,'05_Theo_Doi_Gio_Cong_7_Ngay'!$B:$B,0))),""))</f>
      </c>
      <c r="AA30" s="60">
        <f t="array" ref="AA30">IF($B30="","",IFERROR(IF(INDEX('02_DS_Nhan_Viec'!$H:$H,MATCH($B30,'02_DS_Nhan_Viec'!$B:$B,0))=0,"",INDEX('02_DS_Nhan_Viec'!$H:$H,MATCH($B30,'02_DS_Nhan_Viec'!$B:$B,0))),""))</f>
      </c>
      <c r="AB30" s="60">
        <f t="array" ref="AB30">IF($B30="","",IFERROR(IF(INDEX('02_DS_Nhan_Viec'!$I:$I,MATCH($B30,'02_DS_Nhan_Viec'!$B:$B,0))=0,"",INDEX('02_DS_Nhan_Viec'!$I:$I,MATCH($B30,'02_DS_Nhan_Viec'!$B:$B,0))),""))</f>
      </c>
      <c r="AC30" s="61">
        <f t="array" ref="AC30">IF($B30="","",IF($C30="","Đang theo dõi",IF(OR(IFERROR(INDEX('05_Theo_Doi_Gio_Cong_7_Ngay'!$R:$R,MATCH($C30,'05_Theo_Doi_Gio_Cong_7_Ngay'!$B:$B,0)),"")="",IFERROR(INDEX('05_Theo_Doi_Gio_Cong_7_Ngay'!$R:$R,MATCH($C30,'05_Theo_Doi_Gio_Cong_7_Ngay'!$B:$B,0)),0)=0),"Đang theo dõi",IFERROR(INDEX('06_DS_Chinh_Thuc'!$K:$K,MATCH(IFERROR(INDEX('05_Theo_Doi_Gio_Cong_7_Ngay'!$R:$R,MATCH($C30,'05_Theo_Doi_Gio_Cong_7_Ngay'!$B:$B,0)),0),'06_DS_Chinh_Thuc'!$B:$B,0)),"Đang theo dõi"))))</f>
      </c>
    </row>
    <row r="31" ht="14.25" customHeight="1" spans="1:29" x14ac:dyDescent="0.25">
      <c r="A31" s="52">
        <f t="shared" si="0"/>
      </c>
      <c r="B31" s="52">
        <f t="array" ref="B31">IFERROR(INDEX('02_DS_Nhan_Viec'!$B:$B,MATCH(30,'02_DS_Nhan_Viec'!$M:$M,0)),"")</f>
      </c>
      <c r="C31" s="52">
        <f t="array" ref="C31">IF($B31="","",IFERROR(IF(INDEX('02_DS_Nhan_Viec'!$J:$J,MATCH($B31,'02_DS_Nhan_Viec'!$B:$B,0))=0,"",INDEX('02_DS_Nhan_Viec'!$J:$J,MATCH($B31,'02_DS_Nhan_Viec'!$B:$B,0))),""))</f>
      </c>
      <c r="D31" s="52">
        <f t="array" ref="D31">IF($C31="","",IFERROR(IF(INDEX('05_Theo_Doi_Gio_Cong_7_Ngay'!$R:$R,MATCH($C31,'05_Theo_Doi_Gio_Cong_7_Ngay'!$B:$B,0))=0,"",INDEX('05_Theo_Doi_Gio_Cong_7_Ngay'!$R:$R,MATCH($C31,'05_Theo_Doi_Gio_Cong_7_Ngay'!$B:$B,0))),""))</f>
      </c>
      <c r="E31" s="60">
        <f t="array" ref="E31">IF($B31="","",IFERROR(IF(INDEX('01_UngVien_PhongVan'!$D:$D,MATCH($B31,'01_UngVien_PhongVan'!$B:$B,0))=0,"",INDEX('01_UngVien_PhongVan'!$D:$D,MATCH($B31,'01_UngVien_PhongVan'!$B:$B,0))),""))</f>
      </c>
      <c r="F31" s="52">
        <f t="array" ref="F31">IF($B31="","",IFERROR(IF(INDEX('01_UngVien_PhongVan'!$F:$F,MATCH($B31,'01_UngVien_PhongVan'!$B:$B,0))=0,"",INDEX('01_UngVien_PhongVan'!$F:$F,MATCH($B31,'01_UngVien_PhongVan'!$B:$B,0))),""))</f>
      </c>
      <c r="G31" s="72">
        <f t="array" ref="G31">IF($B31="","",IFERROR(IF(INDEX('01_UngVien_PhongVan'!$G:$G,MATCH($B31,'01_UngVien_PhongVan'!$B:$B,0))=0,"",INDEX('01_UngVien_PhongVan'!$G:$G,MATCH($B31,'01_UngVien_PhongVan'!$B:$B,0))),""))</f>
      </c>
      <c r="H31" s="52">
        <f t="array" ref="H31">IF($B31="","",IFERROR(IF(INDEX('01_UngVien_PhongVan'!$H:$H,MATCH($B31,'01_UngVien_PhongVan'!$B:$B,0))=0,"",INDEX('01_UngVien_PhongVan'!$H:$H,MATCH($B31,'01_UngVien_PhongVan'!$B:$B,0))),""))</f>
      </c>
      <c r="I31" s="60">
        <f t="array" ref="I31">IF($B31="","",IFERROR(IF(INDEX('01_UngVien_PhongVan'!$I:$I,MATCH($B31,'01_UngVien_PhongVan'!$B:$B,0))=0,"",INDEX('01_UngVien_PhongVan'!$I:$I,MATCH($B31,'01_UngVien_PhongVan'!$B:$B,0))),""))</f>
      </c>
      <c r="J31" s="60">
        <f t="array" ref="J31">IF($B31="","",IFERROR(IF(INDEX('01_UngVien_PhongVan'!$J:$J,MATCH($B31,'01_UngVien_PhongVan'!$B:$B,0))=0,"",INDEX('01_UngVien_PhongVan'!$J:$J,MATCH($B31,'01_UngVien_PhongVan'!$B:$B,0))),""))</f>
      </c>
      <c r="K31" s="73">
        <f t="array" ref="K31">IF($B31="","",IFERROR(IF(INDEX('01_UngVien_PhongVan'!$K:$K,MATCH($B31,'01_UngVien_PhongVan'!$B:$B,0))=0,"",INDEX('01_UngVien_PhongVan'!$K:$K,MATCH($B31,'01_UngVien_PhongVan'!$B:$B,0))),""))</f>
      </c>
      <c r="L31" s="60">
        <f t="array" ref="L31">IF($B31="","",IFERROR(IF(INDEX('01_UngVien_PhongVan'!$L:$L,MATCH($B31,'01_UngVien_PhongVan'!$B:$B,0))=0,"",INDEX('01_UngVien_PhongVan'!$L:$L,MATCH($B31,'01_UngVien_PhongVan'!$B:$B,0))),""))</f>
      </c>
      <c r="M31" s="60">
        <f t="array" ref="M31">IF($B31="","",IFERROR(IF(INDEX('01_UngVien_PhongVan'!$E:$E,MATCH($B31,'01_UngVien_PhongVan'!$B:$B,0))=0,"",INDEX('01_UngVien_PhongVan'!$E:$E,MATCH($B31,'01_UngVien_PhongVan'!$B:$B,0))),""))</f>
      </c>
      <c r="N31" s="60">
        <f t="array" ref="N31">IF($B31="","",IFERROR(IF(INDEX('01_UngVien_PhongVan'!$M:$M,MATCH($B31,'01_UngVien_PhongVan'!$B:$B,0))=0,"",INDEX('01_UngVien_PhongVan'!$M:$M,MATCH($B31,'01_UngVien_PhongVan'!$B:$B,0))),""))</f>
      </c>
      <c r="O31" s="60">
        <f t="array" ref="O31">IF($B31="","",IFERROR(IF(INDEX('01_UngVien_PhongVan'!$N:$N,MATCH($B31,'01_UngVien_PhongVan'!$B:$B,0))=0,"",INDEX('01_UngVien_PhongVan'!$N:$N,MATCH($B31,'01_UngVien_PhongVan'!$B:$B,0))),""))</f>
      </c>
      <c r="P31" s="60">
        <f t="array" ref="P31">IF($B31="","",IFERROR(IF(INDEX('01_UngVien_PhongVan'!$O:$O,MATCH($B31,'01_UngVien_PhongVan'!$B:$B,0))=0,"",INDEX('01_UngVien_PhongVan'!$O:$O,MATCH($B31,'01_UngVien_PhongVan'!$B:$B,0))),""))</f>
      </c>
      <c r="Q31" s="60">
        <f t="array" ref="Q31">IF($B31="","",IFERROR(IF(INDEX('01_UngVien_PhongVan'!$P:$P,MATCH($B31,'01_UngVien_PhongVan'!$B:$B,0))=0,"",INDEX('01_UngVien_PhongVan'!$P:$P,MATCH($B31,'01_UngVien_PhongVan'!$B:$B,0))),""))</f>
      </c>
      <c r="R31" s="60">
        <f t="array" ref="R31">IF($B31="","",IFERROR(IF(INDEX('01_UngVien_PhongVan'!$Q:$Q,MATCH($B31,'01_UngVien_PhongVan'!$B:$B,0))=0,"",INDEX('01_UngVien_PhongVan'!$Q:$Q,MATCH($B31,'01_UngVien_PhongVan'!$B:$B,0))),""))</f>
      </c>
      <c r="S31" s="60">
        <f t="array" ref="S31">IF($B31="","",IFERROR(IF(INDEX('01_UngVien_PhongVan'!$R:$R,MATCH($B31,'01_UngVien_PhongVan'!$B:$B,0))=0,"",INDEX('01_UngVien_PhongVan'!$R:$R,MATCH($B31,'01_UngVien_PhongVan'!$B:$B,0))),""))</f>
      </c>
      <c r="T31" s="60">
        <f t="array" ref="T31">IF($B31="","",IFERROR(IF(INDEX('01_UngVien_PhongVan'!$U:$U,MATCH($B31,'01_UngVien_PhongVan'!$B:$B,0))=0,"",INDEX('01_UngVien_PhongVan'!$U:$U,MATCH($B31,'01_UngVien_PhongVan'!$B:$B,0))),""))</f>
      </c>
      <c r="U31" s="73">
        <f t="array" ref="U31">IF($B31="","",IFERROR(IF(INDEX('01_UngVien_PhongVan'!$C:$C,MATCH($B31,'01_UngVien_PhongVan'!$B:$B,0))=0,"",INDEX('01_UngVien_PhongVan'!$C:$C,MATCH($B31,'01_UngVien_PhongVan'!$B:$B,0))),""))</f>
      </c>
      <c r="V31" s="73">
        <f t="array" ref="V31">IF($B31="","",IFERROR(IF(INDEX('02_DS_Nhan_Viec'!$D:$D,MATCH($B31,'02_DS_Nhan_Viec'!$B:$B,0))=0,"",INDEX('02_DS_Nhan_Viec'!$D:$D,MATCH($B31,'02_DS_Nhan_Viec'!$B:$B,0))),""))</f>
      </c>
      <c r="W31" s="73">
        <f t="array" ref="W31">IF($B31="","",IFERROR(IF(INDEX('02_DS_Nhan_Viec'!$E:$E,MATCH($B31,'02_DS_Nhan_Viec'!$B:$B,0))=0,"",INDEX('02_DS_Nhan_Viec'!$E:$E,MATCH($B31,'02_DS_Nhan_Viec'!$B:$B,0))),""))</f>
      </c>
      <c r="X31" s="73">
        <f t="array" ref="X31">IF($C31="","",IFERROR(IF(INDEX('05_Theo_Doi_Gio_Cong_7_Ngay'!$P:$P,MATCH($C31,'05_Theo_Doi_Gio_Cong_7_Ngay'!$B:$B,0))=0,"",INDEX('05_Theo_Doi_Gio_Cong_7_Ngay'!$P:$P,MATCH($C31,'05_Theo_Doi_Gio_Cong_7_Ngay'!$B:$B,0))),""))</f>
      </c>
      <c r="Y31" s="60">
        <f t="array" ref="Y31">IF($C31="","",IFERROR(IF(INDEX('05_Theo_Doi_Gio_Cong_7_Ngay'!$M:$M,MATCH($C31,'05_Theo_Doi_Gio_Cong_7_Ngay'!$B:$B,0))=0,"",INDEX('05_Theo_Doi_Gio_Cong_7_Ngay'!$M:$M,MATCH($C31,'05_Theo_Doi_Gio_Cong_7_Ngay'!$B:$B,0))),""))</f>
      </c>
      <c r="Z31" s="60">
        <f t="array" ref="Z31">IF($C31="","",IFERROR(IF(INDEX('05_Theo_Doi_Gio_Cong_7_Ngay'!$Q:$Q,MATCH($C31,'05_Theo_Doi_Gio_Cong_7_Ngay'!$B:$B,0))=0,"",INDEX('05_Theo_Doi_Gio_Cong_7_Ngay'!$Q:$Q,MATCH($C31,'05_Theo_Doi_Gio_Cong_7_Ngay'!$B:$B,0))),""))</f>
      </c>
      <c r="AA31" s="60">
        <f t="array" ref="AA31">IF($B31="","",IFERROR(IF(INDEX('02_DS_Nhan_Viec'!$H:$H,MATCH($B31,'02_DS_Nhan_Viec'!$B:$B,0))=0,"",INDEX('02_DS_Nhan_Viec'!$H:$H,MATCH($B31,'02_DS_Nhan_Viec'!$B:$B,0))),""))</f>
      </c>
      <c r="AB31" s="60">
        <f t="array" ref="AB31">IF($B31="","",IFERROR(IF(INDEX('02_DS_Nhan_Viec'!$I:$I,MATCH($B31,'02_DS_Nhan_Viec'!$B:$B,0))=0,"",INDEX('02_DS_Nhan_Viec'!$I:$I,MATCH($B31,'02_DS_Nhan_Viec'!$B:$B,0))),""))</f>
      </c>
      <c r="AC31" s="61">
        <f t="array" ref="AC31">IF($B31="","",IF($C31="","Đang theo dõi",IF(OR(IFERROR(INDEX('05_Theo_Doi_Gio_Cong_7_Ngay'!$R:$R,MATCH($C31,'05_Theo_Doi_Gio_Cong_7_Ngay'!$B:$B,0)),"")="",IFERROR(INDEX('05_Theo_Doi_Gio_Cong_7_Ngay'!$R:$R,MATCH($C31,'05_Theo_Doi_Gio_Cong_7_Ngay'!$B:$B,0)),0)=0),"Đang theo dõi",IFERROR(INDEX('06_DS_Chinh_Thuc'!$K:$K,MATCH(IFERROR(INDEX('05_Theo_Doi_Gio_Cong_7_Ngay'!$R:$R,MATCH($C31,'05_Theo_Doi_Gio_Cong_7_Ngay'!$B:$B,0)),0),'06_DS_Chinh_Thuc'!$B:$B,0)),"Đang theo dõi"))))</f>
      </c>
    </row>
    <row r="32" ht="14.25" customHeight="1" spans="1:29" x14ac:dyDescent="0.25">
      <c r="A32" s="52">
        <f t="shared" si="0"/>
      </c>
      <c r="B32" s="52">
        <f t="array" ref="B32">IFERROR(INDEX('02_DS_Nhan_Viec'!$B:$B,MATCH(31,'02_DS_Nhan_Viec'!$M:$M,0)),"")</f>
      </c>
      <c r="C32" s="52">
        <f t="array" ref="C32">IF($B32="","",IFERROR(IF(INDEX('02_DS_Nhan_Viec'!$J:$J,MATCH($B32,'02_DS_Nhan_Viec'!$B:$B,0))=0,"",INDEX('02_DS_Nhan_Viec'!$J:$J,MATCH($B32,'02_DS_Nhan_Viec'!$B:$B,0))),""))</f>
      </c>
      <c r="D32" s="52">
        <f t="array" ref="D32">IF($C32="","",IFERROR(IF(INDEX('05_Theo_Doi_Gio_Cong_7_Ngay'!$R:$R,MATCH($C32,'05_Theo_Doi_Gio_Cong_7_Ngay'!$B:$B,0))=0,"",INDEX('05_Theo_Doi_Gio_Cong_7_Ngay'!$R:$R,MATCH($C32,'05_Theo_Doi_Gio_Cong_7_Ngay'!$B:$B,0))),""))</f>
      </c>
      <c r="E32" s="60">
        <f t="array" ref="E32">IF($B32="","",IFERROR(IF(INDEX('01_UngVien_PhongVan'!$D:$D,MATCH($B32,'01_UngVien_PhongVan'!$B:$B,0))=0,"",INDEX('01_UngVien_PhongVan'!$D:$D,MATCH($B32,'01_UngVien_PhongVan'!$B:$B,0))),""))</f>
      </c>
      <c r="F32" s="52">
        <f t="array" ref="F32">IF($B32="","",IFERROR(IF(INDEX('01_UngVien_PhongVan'!$F:$F,MATCH($B32,'01_UngVien_PhongVan'!$B:$B,0))=0,"",INDEX('01_UngVien_PhongVan'!$F:$F,MATCH($B32,'01_UngVien_PhongVan'!$B:$B,0))),""))</f>
      </c>
      <c r="G32" s="72">
        <f t="array" ref="G32">IF($B32="","",IFERROR(IF(INDEX('01_UngVien_PhongVan'!$G:$G,MATCH($B32,'01_UngVien_PhongVan'!$B:$B,0))=0,"",INDEX('01_UngVien_PhongVan'!$G:$G,MATCH($B32,'01_UngVien_PhongVan'!$B:$B,0))),""))</f>
      </c>
      <c r="H32" s="52">
        <f t="array" ref="H32">IF($B32="","",IFERROR(IF(INDEX('01_UngVien_PhongVan'!$H:$H,MATCH($B32,'01_UngVien_PhongVan'!$B:$B,0))=0,"",INDEX('01_UngVien_PhongVan'!$H:$H,MATCH($B32,'01_UngVien_PhongVan'!$B:$B,0))),""))</f>
      </c>
      <c r="I32" s="60">
        <f t="array" ref="I32">IF($B32="","",IFERROR(IF(INDEX('01_UngVien_PhongVan'!$I:$I,MATCH($B32,'01_UngVien_PhongVan'!$B:$B,0))=0,"",INDEX('01_UngVien_PhongVan'!$I:$I,MATCH($B32,'01_UngVien_PhongVan'!$B:$B,0))),""))</f>
      </c>
      <c r="J32" s="60">
        <f t="array" ref="J32">IF($B32="","",IFERROR(IF(INDEX('01_UngVien_PhongVan'!$J:$J,MATCH($B32,'01_UngVien_PhongVan'!$B:$B,0))=0,"",INDEX('01_UngVien_PhongVan'!$J:$J,MATCH($B32,'01_UngVien_PhongVan'!$B:$B,0))),""))</f>
      </c>
      <c r="K32" s="73">
        <f t="array" ref="K32">IF($B32="","",IFERROR(IF(INDEX('01_UngVien_PhongVan'!$K:$K,MATCH($B32,'01_UngVien_PhongVan'!$B:$B,0))=0,"",INDEX('01_UngVien_PhongVan'!$K:$K,MATCH($B32,'01_UngVien_PhongVan'!$B:$B,0))),""))</f>
      </c>
      <c r="L32" s="60">
        <f t="array" ref="L32">IF($B32="","",IFERROR(IF(INDEX('01_UngVien_PhongVan'!$L:$L,MATCH($B32,'01_UngVien_PhongVan'!$B:$B,0))=0,"",INDEX('01_UngVien_PhongVan'!$L:$L,MATCH($B32,'01_UngVien_PhongVan'!$B:$B,0))),""))</f>
      </c>
      <c r="M32" s="60">
        <f t="array" ref="M32">IF($B32="","",IFERROR(IF(INDEX('01_UngVien_PhongVan'!$E:$E,MATCH($B32,'01_UngVien_PhongVan'!$B:$B,0))=0,"",INDEX('01_UngVien_PhongVan'!$E:$E,MATCH($B32,'01_UngVien_PhongVan'!$B:$B,0))),""))</f>
      </c>
      <c r="N32" s="60">
        <f t="array" ref="N32">IF($B32="","",IFERROR(IF(INDEX('01_UngVien_PhongVan'!$M:$M,MATCH($B32,'01_UngVien_PhongVan'!$B:$B,0))=0,"",INDEX('01_UngVien_PhongVan'!$M:$M,MATCH($B32,'01_UngVien_PhongVan'!$B:$B,0))),""))</f>
      </c>
      <c r="O32" s="60">
        <f t="array" ref="O32">IF($B32="","",IFERROR(IF(INDEX('01_UngVien_PhongVan'!$N:$N,MATCH($B32,'01_UngVien_PhongVan'!$B:$B,0))=0,"",INDEX('01_UngVien_PhongVan'!$N:$N,MATCH($B32,'01_UngVien_PhongVan'!$B:$B,0))),""))</f>
      </c>
      <c r="P32" s="60">
        <f t="array" ref="P32">IF($B32="","",IFERROR(IF(INDEX('01_UngVien_PhongVan'!$O:$O,MATCH($B32,'01_UngVien_PhongVan'!$B:$B,0))=0,"",INDEX('01_UngVien_PhongVan'!$O:$O,MATCH($B32,'01_UngVien_PhongVan'!$B:$B,0))),""))</f>
      </c>
      <c r="Q32" s="60">
        <f t="array" ref="Q32">IF($B32="","",IFERROR(IF(INDEX('01_UngVien_PhongVan'!$P:$P,MATCH($B32,'01_UngVien_PhongVan'!$B:$B,0))=0,"",INDEX('01_UngVien_PhongVan'!$P:$P,MATCH($B32,'01_UngVien_PhongVan'!$B:$B,0))),""))</f>
      </c>
      <c r="R32" s="60">
        <f t="array" ref="R32">IF($B32="","",IFERROR(IF(INDEX('01_UngVien_PhongVan'!$Q:$Q,MATCH($B32,'01_UngVien_PhongVan'!$B:$B,0))=0,"",INDEX('01_UngVien_PhongVan'!$Q:$Q,MATCH($B32,'01_UngVien_PhongVan'!$B:$B,0))),""))</f>
      </c>
      <c r="S32" s="60">
        <f t="array" ref="S32">IF($B32="","",IFERROR(IF(INDEX('01_UngVien_PhongVan'!$R:$R,MATCH($B32,'01_UngVien_PhongVan'!$B:$B,0))=0,"",INDEX('01_UngVien_PhongVan'!$R:$R,MATCH($B32,'01_UngVien_PhongVan'!$B:$B,0))),""))</f>
      </c>
      <c r="T32" s="60">
        <f t="array" ref="T32">IF($B32="","",IFERROR(IF(INDEX('01_UngVien_PhongVan'!$U:$U,MATCH($B32,'01_UngVien_PhongVan'!$B:$B,0))=0,"",INDEX('01_UngVien_PhongVan'!$U:$U,MATCH($B32,'01_UngVien_PhongVan'!$B:$B,0))),""))</f>
      </c>
      <c r="U32" s="73">
        <f t="array" ref="U32">IF($B32="","",IFERROR(IF(INDEX('01_UngVien_PhongVan'!$C:$C,MATCH($B32,'01_UngVien_PhongVan'!$B:$B,0))=0,"",INDEX('01_UngVien_PhongVan'!$C:$C,MATCH($B32,'01_UngVien_PhongVan'!$B:$B,0))),""))</f>
      </c>
      <c r="V32" s="73">
        <f t="array" ref="V32">IF($B32="","",IFERROR(IF(INDEX('02_DS_Nhan_Viec'!$D:$D,MATCH($B32,'02_DS_Nhan_Viec'!$B:$B,0))=0,"",INDEX('02_DS_Nhan_Viec'!$D:$D,MATCH($B32,'02_DS_Nhan_Viec'!$B:$B,0))),""))</f>
      </c>
      <c r="W32" s="73">
        <f t="array" ref="W32">IF($B32="","",IFERROR(IF(INDEX('02_DS_Nhan_Viec'!$E:$E,MATCH($B32,'02_DS_Nhan_Viec'!$B:$B,0))=0,"",INDEX('02_DS_Nhan_Viec'!$E:$E,MATCH($B32,'02_DS_Nhan_Viec'!$B:$B,0))),""))</f>
      </c>
      <c r="X32" s="73">
        <f t="array" ref="X32">IF($C32="","",IFERROR(IF(INDEX('05_Theo_Doi_Gio_Cong_7_Ngay'!$P:$P,MATCH($C32,'05_Theo_Doi_Gio_Cong_7_Ngay'!$B:$B,0))=0,"",INDEX('05_Theo_Doi_Gio_Cong_7_Ngay'!$P:$P,MATCH($C32,'05_Theo_Doi_Gio_Cong_7_Ngay'!$B:$B,0))),""))</f>
      </c>
      <c r="Y32" s="60">
        <f t="array" ref="Y32">IF($C32="","",IFERROR(IF(INDEX('05_Theo_Doi_Gio_Cong_7_Ngay'!$M:$M,MATCH($C32,'05_Theo_Doi_Gio_Cong_7_Ngay'!$B:$B,0))=0,"",INDEX('05_Theo_Doi_Gio_Cong_7_Ngay'!$M:$M,MATCH($C32,'05_Theo_Doi_Gio_Cong_7_Ngay'!$B:$B,0))),""))</f>
      </c>
      <c r="Z32" s="60">
        <f t="array" ref="Z32">IF($C32="","",IFERROR(IF(INDEX('05_Theo_Doi_Gio_Cong_7_Ngay'!$Q:$Q,MATCH($C32,'05_Theo_Doi_Gio_Cong_7_Ngay'!$B:$B,0))=0,"",INDEX('05_Theo_Doi_Gio_Cong_7_Ngay'!$Q:$Q,MATCH($C32,'05_Theo_Doi_Gio_Cong_7_Ngay'!$B:$B,0))),""))</f>
      </c>
      <c r="AA32" s="60">
        <f t="array" ref="AA32">IF($B32="","",IFERROR(IF(INDEX('02_DS_Nhan_Viec'!$H:$H,MATCH($B32,'02_DS_Nhan_Viec'!$B:$B,0))=0,"",INDEX('02_DS_Nhan_Viec'!$H:$H,MATCH($B32,'02_DS_Nhan_Viec'!$B:$B,0))),""))</f>
      </c>
      <c r="AB32" s="60">
        <f t="array" ref="AB32">IF($B32="","",IFERROR(IF(INDEX('02_DS_Nhan_Viec'!$I:$I,MATCH($B32,'02_DS_Nhan_Viec'!$B:$B,0))=0,"",INDEX('02_DS_Nhan_Viec'!$I:$I,MATCH($B32,'02_DS_Nhan_Viec'!$B:$B,0))),""))</f>
      </c>
      <c r="AC32" s="61">
        <f t="array" ref="AC32">IF($B32="","",IF($C32="","Đang theo dõi",IF(OR(IFERROR(INDEX('05_Theo_Doi_Gio_Cong_7_Ngay'!$R:$R,MATCH($C32,'05_Theo_Doi_Gio_Cong_7_Ngay'!$B:$B,0)),"")="",IFERROR(INDEX('05_Theo_Doi_Gio_Cong_7_Ngay'!$R:$R,MATCH($C32,'05_Theo_Doi_Gio_Cong_7_Ngay'!$B:$B,0)),0)=0),"Đang theo dõi",IFERROR(INDEX('06_DS_Chinh_Thuc'!$K:$K,MATCH(IFERROR(INDEX('05_Theo_Doi_Gio_Cong_7_Ngay'!$R:$R,MATCH($C32,'05_Theo_Doi_Gio_Cong_7_Ngay'!$B:$B,0)),0),'06_DS_Chinh_Thuc'!$B:$B,0)),"Đang theo dõi"))))</f>
      </c>
    </row>
    <row r="33" ht="14.25" customHeight="1" spans="1:29" x14ac:dyDescent="0.25">
      <c r="A33" s="52">
        <f t="shared" si="0"/>
      </c>
      <c r="B33" s="52">
        <f t="array" ref="B33">IFERROR(INDEX('02_DS_Nhan_Viec'!$B:$B,MATCH(32,'02_DS_Nhan_Viec'!$M:$M,0)),"")</f>
      </c>
      <c r="C33" s="52">
        <f t="array" ref="C33">IF($B33="","",IFERROR(IF(INDEX('02_DS_Nhan_Viec'!$J:$J,MATCH($B33,'02_DS_Nhan_Viec'!$B:$B,0))=0,"",INDEX('02_DS_Nhan_Viec'!$J:$J,MATCH($B33,'02_DS_Nhan_Viec'!$B:$B,0))),""))</f>
      </c>
      <c r="D33" s="52">
        <f t="array" ref="D33">IF($C33="","",IFERROR(IF(INDEX('05_Theo_Doi_Gio_Cong_7_Ngay'!$R:$R,MATCH($C33,'05_Theo_Doi_Gio_Cong_7_Ngay'!$B:$B,0))=0,"",INDEX('05_Theo_Doi_Gio_Cong_7_Ngay'!$R:$R,MATCH($C33,'05_Theo_Doi_Gio_Cong_7_Ngay'!$B:$B,0))),""))</f>
      </c>
      <c r="E33" s="60">
        <f t="array" ref="E33">IF($B33="","",IFERROR(IF(INDEX('01_UngVien_PhongVan'!$D:$D,MATCH($B33,'01_UngVien_PhongVan'!$B:$B,0))=0,"",INDEX('01_UngVien_PhongVan'!$D:$D,MATCH($B33,'01_UngVien_PhongVan'!$B:$B,0))),""))</f>
      </c>
      <c r="F33" s="52">
        <f t="array" ref="F33">IF($B33="","",IFERROR(IF(INDEX('01_UngVien_PhongVan'!$F:$F,MATCH($B33,'01_UngVien_PhongVan'!$B:$B,0))=0,"",INDEX('01_UngVien_PhongVan'!$F:$F,MATCH($B33,'01_UngVien_PhongVan'!$B:$B,0))),""))</f>
      </c>
      <c r="G33" s="72">
        <f t="array" ref="G33">IF($B33="","",IFERROR(IF(INDEX('01_UngVien_PhongVan'!$G:$G,MATCH($B33,'01_UngVien_PhongVan'!$B:$B,0))=0,"",INDEX('01_UngVien_PhongVan'!$G:$G,MATCH($B33,'01_UngVien_PhongVan'!$B:$B,0))),""))</f>
      </c>
      <c r="H33" s="52">
        <f t="array" ref="H33">IF($B33="","",IFERROR(IF(INDEX('01_UngVien_PhongVan'!$H:$H,MATCH($B33,'01_UngVien_PhongVan'!$B:$B,0))=0,"",INDEX('01_UngVien_PhongVan'!$H:$H,MATCH($B33,'01_UngVien_PhongVan'!$B:$B,0))),""))</f>
      </c>
      <c r="I33" s="60">
        <f t="array" ref="I33">IF($B33="","",IFERROR(IF(INDEX('01_UngVien_PhongVan'!$I:$I,MATCH($B33,'01_UngVien_PhongVan'!$B:$B,0))=0,"",INDEX('01_UngVien_PhongVan'!$I:$I,MATCH($B33,'01_UngVien_PhongVan'!$B:$B,0))),""))</f>
      </c>
      <c r="J33" s="60">
        <f t="array" ref="J33">IF($B33="","",IFERROR(IF(INDEX('01_UngVien_PhongVan'!$J:$J,MATCH($B33,'01_UngVien_PhongVan'!$B:$B,0))=0,"",INDEX('01_UngVien_PhongVan'!$J:$J,MATCH($B33,'01_UngVien_PhongVan'!$B:$B,0))),""))</f>
      </c>
      <c r="K33" s="73">
        <f t="array" ref="K33">IF($B33="","",IFERROR(IF(INDEX('01_UngVien_PhongVan'!$K:$K,MATCH($B33,'01_UngVien_PhongVan'!$B:$B,0))=0,"",INDEX('01_UngVien_PhongVan'!$K:$K,MATCH($B33,'01_UngVien_PhongVan'!$B:$B,0))),""))</f>
      </c>
      <c r="L33" s="60">
        <f t="array" ref="L33">IF($B33="","",IFERROR(IF(INDEX('01_UngVien_PhongVan'!$L:$L,MATCH($B33,'01_UngVien_PhongVan'!$B:$B,0))=0,"",INDEX('01_UngVien_PhongVan'!$L:$L,MATCH($B33,'01_UngVien_PhongVan'!$B:$B,0))),""))</f>
      </c>
      <c r="M33" s="60">
        <f t="array" ref="M33">IF($B33="","",IFERROR(IF(INDEX('01_UngVien_PhongVan'!$E:$E,MATCH($B33,'01_UngVien_PhongVan'!$B:$B,0))=0,"",INDEX('01_UngVien_PhongVan'!$E:$E,MATCH($B33,'01_UngVien_PhongVan'!$B:$B,0))),""))</f>
      </c>
      <c r="N33" s="60">
        <f t="array" ref="N33">IF($B33="","",IFERROR(IF(INDEX('01_UngVien_PhongVan'!$M:$M,MATCH($B33,'01_UngVien_PhongVan'!$B:$B,0))=0,"",INDEX('01_UngVien_PhongVan'!$M:$M,MATCH($B33,'01_UngVien_PhongVan'!$B:$B,0))),""))</f>
      </c>
      <c r="O33" s="60">
        <f t="array" ref="O33">IF($B33="","",IFERROR(IF(INDEX('01_UngVien_PhongVan'!$N:$N,MATCH($B33,'01_UngVien_PhongVan'!$B:$B,0))=0,"",INDEX('01_UngVien_PhongVan'!$N:$N,MATCH($B33,'01_UngVien_PhongVan'!$B:$B,0))),""))</f>
      </c>
      <c r="P33" s="60">
        <f t="array" ref="P33">IF($B33="","",IFERROR(IF(INDEX('01_UngVien_PhongVan'!$O:$O,MATCH($B33,'01_UngVien_PhongVan'!$B:$B,0))=0,"",INDEX('01_UngVien_PhongVan'!$O:$O,MATCH($B33,'01_UngVien_PhongVan'!$B:$B,0))),""))</f>
      </c>
      <c r="Q33" s="60">
        <f t="array" ref="Q33">IF($B33="","",IFERROR(IF(INDEX('01_UngVien_PhongVan'!$P:$P,MATCH($B33,'01_UngVien_PhongVan'!$B:$B,0))=0,"",INDEX('01_UngVien_PhongVan'!$P:$P,MATCH($B33,'01_UngVien_PhongVan'!$B:$B,0))),""))</f>
      </c>
      <c r="R33" s="60">
        <f t="array" ref="R33">IF($B33="","",IFERROR(IF(INDEX('01_UngVien_PhongVan'!$Q:$Q,MATCH($B33,'01_UngVien_PhongVan'!$B:$B,0))=0,"",INDEX('01_UngVien_PhongVan'!$Q:$Q,MATCH($B33,'01_UngVien_PhongVan'!$B:$B,0))),""))</f>
      </c>
      <c r="S33" s="60">
        <f t="array" ref="S33">IF($B33="","",IFERROR(IF(INDEX('01_UngVien_PhongVan'!$R:$R,MATCH($B33,'01_UngVien_PhongVan'!$B:$B,0))=0,"",INDEX('01_UngVien_PhongVan'!$R:$R,MATCH($B33,'01_UngVien_PhongVan'!$B:$B,0))),""))</f>
      </c>
      <c r="T33" s="60">
        <f t="array" ref="T33">IF($B33="","",IFERROR(IF(INDEX('01_UngVien_PhongVan'!$U:$U,MATCH($B33,'01_UngVien_PhongVan'!$B:$B,0))=0,"",INDEX('01_UngVien_PhongVan'!$U:$U,MATCH($B33,'01_UngVien_PhongVan'!$B:$B,0))),""))</f>
      </c>
      <c r="U33" s="73">
        <f t="array" ref="U33">IF($B33="","",IFERROR(IF(INDEX('01_UngVien_PhongVan'!$C:$C,MATCH($B33,'01_UngVien_PhongVan'!$B:$B,0))=0,"",INDEX('01_UngVien_PhongVan'!$C:$C,MATCH($B33,'01_UngVien_PhongVan'!$B:$B,0))),""))</f>
      </c>
      <c r="V33" s="73">
        <f t="array" ref="V33">IF($B33="","",IFERROR(IF(INDEX('02_DS_Nhan_Viec'!$D:$D,MATCH($B33,'02_DS_Nhan_Viec'!$B:$B,0))=0,"",INDEX('02_DS_Nhan_Viec'!$D:$D,MATCH($B33,'02_DS_Nhan_Viec'!$B:$B,0))),""))</f>
      </c>
      <c r="W33" s="73">
        <f t="array" ref="W33">IF($B33="","",IFERROR(IF(INDEX('02_DS_Nhan_Viec'!$E:$E,MATCH($B33,'02_DS_Nhan_Viec'!$B:$B,0))=0,"",INDEX('02_DS_Nhan_Viec'!$E:$E,MATCH($B33,'02_DS_Nhan_Viec'!$B:$B,0))),""))</f>
      </c>
      <c r="X33" s="73">
        <f t="array" ref="X33">IF($C33="","",IFERROR(IF(INDEX('05_Theo_Doi_Gio_Cong_7_Ngay'!$P:$P,MATCH($C33,'05_Theo_Doi_Gio_Cong_7_Ngay'!$B:$B,0))=0,"",INDEX('05_Theo_Doi_Gio_Cong_7_Ngay'!$P:$P,MATCH($C33,'05_Theo_Doi_Gio_Cong_7_Ngay'!$B:$B,0))),""))</f>
      </c>
      <c r="Y33" s="60">
        <f t="array" ref="Y33">IF($C33="","",IFERROR(IF(INDEX('05_Theo_Doi_Gio_Cong_7_Ngay'!$M:$M,MATCH($C33,'05_Theo_Doi_Gio_Cong_7_Ngay'!$B:$B,0))=0,"",INDEX('05_Theo_Doi_Gio_Cong_7_Ngay'!$M:$M,MATCH($C33,'05_Theo_Doi_Gio_Cong_7_Ngay'!$B:$B,0))),""))</f>
      </c>
      <c r="Z33" s="60">
        <f t="array" ref="Z33">IF($C33="","",IFERROR(IF(INDEX('05_Theo_Doi_Gio_Cong_7_Ngay'!$Q:$Q,MATCH($C33,'05_Theo_Doi_Gio_Cong_7_Ngay'!$B:$B,0))=0,"",INDEX('05_Theo_Doi_Gio_Cong_7_Ngay'!$Q:$Q,MATCH($C33,'05_Theo_Doi_Gio_Cong_7_Ngay'!$B:$B,0))),""))</f>
      </c>
      <c r="AA33" s="60">
        <f t="array" ref="AA33">IF($B33="","",IFERROR(IF(INDEX('02_DS_Nhan_Viec'!$H:$H,MATCH($B33,'02_DS_Nhan_Viec'!$B:$B,0))=0,"",INDEX('02_DS_Nhan_Viec'!$H:$H,MATCH($B33,'02_DS_Nhan_Viec'!$B:$B,0))),""))</f>
      </c>
      <c r="AB33" s="60">
        <f t="array" ref="AB33">IF($B33="","",IFERROR(IF(INDEX('02_DS_Nhan_Viec'!$I:$I,MATCH($B33,'02_DS_Nhan_Viec'!$B:$B,0))=0,"",INDEX('02_DS_Nhan_Viec'!$I:$I,MATCH($B33,'02_DS_Nhan_Viec'!$B:$B,0))),""))</f>
      </c>
      <c r="AC33" s="61">
        <f t="array" ref="AC33">IF($B33="","",IF($C33="","Đang theo dõi",IF(OR(IFERROR(INDEX('05_Theo_Doi_Gio_Cong_7_Ngay'!$R:$R,MATCH($C33,'05_Theo_Doi_Gio_Cong_7_Ngay'!$B:$B,0)),"")="",IFERROR(INDEX('05_Theo_Doi_Gio_Cong_7_Ngay'!$R:$R,MATCH($C33,'05_Theo_Doi_Gio_Cong_7_Ngay'!$B:$B,0)),0)=0),"Đang theo dõi",IFERROR(INDEX('06_DS_Chinh_Thuc'!$K:$K,MATCH(IFERROR(INDEX('05_Theo_Doi_Gio_Cong_7_Ngay'!$R:$R,MATCH($C33,'05_Theo_Doi_Gio_Cong_7_Ngay'!$B:$B,0)),0),'06_DS_Chinh_Thuc'!$B:$B,0)),"Đang theo dõi"))))</f>
      </c>
    </row>
    <row r="34" ht="14.25" customHeight="1" spans="1:29" x14ac:dyDescent="0.25">
      <c r="A34" s="52">
        <f t="shared" si="0"/>
      </c>
      <c r="B34" s="52">
        <f t="array" ref="B34">IFERROR(INDEX('02_DS_Nhan_Viec'!$B:$B,MATCH(33,'02_DS_Nhan_Viec'!$M:$M,0)),"")</f>
      </c>
      <c r="C34" s="52">
        <f t="array" ref="C34">IF($B34="","",IFERROR(IF(INDEX('02_DS_Nhan_Viec'!$J:$J,MATCH($B34,'02_DS_Nhan_Viec'!$B:$B,0))=0,"",INDEX('02_DS_Nhan_Viec'!$J:$J,MATCH($B34,'02_DS_Nhan_Viec'!$B:$B,0))),""))</f>
      </c>
      <c r="D34" s="52">
        <f t="array" ref="D34">IF($C34="","",IFERROR(IF(INDEX('05_Theo_Doi_Gio_Cong_7_Ngay'!$R:$R,MATCH($C34,'05_Theo_Doi_Gio_Cong_7_Ngay'!$B:$B,0))=0,"",INDEX('05_Theo_Doi_Gio_Cong_7_Ngay'!$R:$R,MATCH($C34,'05_Theo_Doi_Gio_Cong_7_Ngay'!$B:$B,0))),""))</f>
      </c>
      <c r="E34" s="60">
        <f t="array" ref="E34">IF($B34="","",IFERROR(IF(INDEX('01_UngVien_PhongVan'!$D:$D,MATCH($B34,'01_UngVien_PhongVan'!$B:$B,0))=0,"",INDEX('01_UngVien_PhongVan'!$D:$D,MATCH($B34,'01_UngVien_PhongVan'!$B:$B,0))),""))</f>
      </c>
      <c r="F34" s="52">
        <f t="array" ref="F34">IF($B34="","",IFERROR(IF(INDEX('01_UngVien_PhongVan'!$F:$F,MATCH($B34,'01_UngVien_PhongVan'!$B:$B,0))=0,"",INDEX('01_UngVien_PhongVan'!$F:$F,MATCH($B34,'01_UngVien_PhongVan'!$B:$B,0))),""))</f>
      </c>
      <c r="G34" s="72">
        <f t="array" ref="G34">IF($B34="","",IFERROR(IF(INDEX('01_UngVien_PhongVan'!$G:$G,MATCH($B34,'01_UngVien_PhongVan'!$B:$B,0))=0,"",INDEX('01_UngVien_PhongVan'!$G:$G,MATCH($B34,'01_UngVien_PhongVan'!$B:$B,0))),""))</f>
      </c>
      <c r="H34" s="52">
        <f t="array" ref="H34">IF($B34="","",IFERROR(IF(INDEX('01_UngVien_PhongVan'!$H:$H,MATCH($B34,'01_UngVien_PhongVan'!$B:$B,0))=0,"",INDEX('01_UngVien_PhongVan'!$H:$H,MATCH($B34,'01_UngVien_PhongVan'!$B:$B,0))),""))</f>
      </c>
      <c r="I34" s="60">
        <f t="array" ref="I34">IF($B34="","",IFERROR(IF(INDEX('01_UngVien_PhongVan'!$I:$I,MATCH($B34,'01_UngVien_PhongVan'!$B:$B,0))=0,"",INDEX('01_UngVien_PhongVan'!$I:$I,MATCH($B34,'01_UngVien_PhongVan'!$B:$B,0))),""))</f>
      </c>
      <c r="J34" s="60">
        <f t="array" ref="J34">IF($B34="","",IFERROR(IF(INDEX('01_UngVien_PhongVan'!$J:$J,MATCH($B34,'01_UngVien_PhongVan'!$B:$B,0))=0,"",INDEX('01_UngVien_PhongVan'!$J:$J,MATCH($B34,'01_UngVien_PhongVan'!$B:$B,0))),""))</f>
      </c>
      <c r="K34" s="73">
        <f t="array" ref="K34">IF($B34="","",IFERROR(IF(INDEX('01_UngVien_PhongVan'!$K:$K,MATCH($B34,'01_UngVien_PhongVan'!$B:$B,0))=0,"",INDEX('01_UngVien_PhongVan'!$K:$K,MATCH($B34,'01_UngVien_PhongVan'!$B:$B,0))),""))</f>
      </c>
      <c r="L34" s="60">
        <f t="array" ref="L34">IF($B34="","",IFERROR(IF(INDEX('01_UngVien_PhongVan'!$L:$L,MATCH($B34,'01_UngVien_PhongVan'!$B:$B,0))=0,"",INDEX('01_UngVien_PhongVan'!$L:$L,MATCH($B34,'01_UngVien_PhongVan'!$B:$B,0))),""))</f>
      </c>
      <c r="M34" s="60">
        <f t="array" ref="M34">IF($B34="","",IFERROR(IF(INDEX('01_UngVien_PhongVan'!$E:$E,MATCH($B34,'01_UngVien_PhongVan'!$B:$B,0))=0,"",INDEX('01_UngVien_PhongVan'!$E:$E,MATCH($B34,'01_UngVien_PhongVan'!$B:$B,0))),""))</f>
      </c>
      <c r="N34" s="60">
        <f t="array" ref="N34">IF($B34="","",IFERROR(IF(INDEX('01_UngVien_PhongVan'!$M:$M,MATCH($B34,'01_UngVien_PhongVan'!$B:$B,0))=0,"",INDEX('01_UngVien_PhongVan'!$M:$M,MATCH($B34,'01_UngVien_PhongVan'!$B:$B,0))),""))</f>
      </c>
      <c r="O34" s="60">
        <f t="array" ref="O34">IF($B34="","",IFERROR(IF(INDEX('01_UngVien_PhongVan'!$N:$N,MATCH($B34,'01_UngVien_PhongVan'!$B:$B,0))=0,"",INDEX('01_UngVien_PhongVan'!$N:$N,MATCH($B34,'01_UngVien_PhongVan'!$B:$B,0))),""))</f>
      </c>
      <c r="P34" s="60">
        <f t="array" ref="P34">IF($B34="","",IFERROR(IF(INDEX('01_UngVien_PhongVan'!$O:$O,MATCH($B34,'01_UngVien_PhongVan'!$B:$B,0))=0,"",INDEX('01_UngVien_PhongVan'!$O:$O,MATCH($B34,'01_UngVien_PhongVan'!$B:$B,0))),""))</f>
      </c>
      <c r="Q34" s="60">
        <f t="array" ref="Q34">IF($B34="","",IFERROR(IF(INDEX('01_UngVien_PhongVan'!$P:$P,MATCH($B34,'01_UngVien_PhongVan'!$B:$B,0))=0,"",INDEX('01_UngVien_PhongVan'!$P:$P,MATCH($B34,'01_UngVien_PhongVan'!$B:$B,0))),""))</f>
      </c>
      <c r="R34" s="60">
        <f t="array" ref="R34">IF($B34="","",IFERROR(IF(INDEX('01_UngVien_PhongVan'!$Q:$Q,MATCH($B34,'01_UngVien_PhongVan'!$B:$B,0))=0,"",INDEX('01_UngVien_PhongVan'!$Q:$Q,MATCH($B34,'01_UngVien_PhongVan'!$B:$B,0))),""))</f>
      </c>
      <c r="S34" s="60">
        <f t="array" ref="S34">IF($B34="","",IFERROR(IF(INDEX('01_UngVien_PhongVan'!$R:$R,MATCH($B34,'01_UngVien_PhongVan'!$B:$B,0))=0,"",INDEX('01_UngVien_PhongVan'!$R:$R,MATCH($B34,'01_UngVien_PhongVan'!$B:$B,0))),""))</f>
      </c>
      <c r="T34" s="60">
        <f t="array" ref="T34">IF($B34="","",IFERROR(IF(INDEX('01_UngVien_PhongVan'!$U:$U,MATCH($B34,'01_UngVien_PhongVan'!$B:$B,0))=0,"",INDEX('01_UngVien_PhongVan'!$U:$U,MATCH($B34,'01_UngVien_PhongVan'!$B:$B,0))),""))</f>
      </c>
      <c r="U34" s="73">
        <f t="array" ref="U34">IF($B34="","",IFERROR(IF(INDEX('01_UngVien_PhongVan'!$C:$C,MATCH($B34,'01_UngVien_PhongVan'!$B:$B,0))=0,"",INDEX('01_UngVien_PhongVan'!$C:$C,MATCH($B34,'01_UngVien_PhongVan'!$B:$B,0))),""))</f>
      </c>
      <c r="V34" s="73">
        <f t="array" ref="V34">IF($B34="","",IFERROR(IF(INDEX('02_DS_Nhan_Viec'!$D:$D,MATCH($B34,'02_DS_Nhan_Viec'!$B:$B,0))=0,"",INDEX('02_DS_Nhan_Viec'!$D:$D,MATCH($B34,'02_DS_Nhan_Viec'!$B:$B,0))),""))</f>
      </c>
      <c r="W34" s="73">
        <f t="array" ref="W34">IF($B34="","",IFERROR(IF(INDEX('02_DS_Nhan_Viec'!$E:$E,MATCH($B34,'02_DS_Nhan_Viec'!$B:$B,0))=0,"",INDEX('02_DS_Nhan_Viec'!$E:$E,MATCH($B34,'02_DS_Nhan_Viec'!$B:$B,0))),""))</f>
      </c>
      <c r="X34" s="73">
        <f t="array" ref="X34">IF($C34="","",IFERROR(IF(INDEX('05_Theo_Doi_Gio_Cong_7_Ngay'!$P:$P,MATCH($C34,'05_Theo_Doi_Gio_Cong_7_Ngay'!$B:$B,0))=0,"",INDEX('05_Theo_Doi_Gio_Cong_7_Ngay'!$P:$P,MATCH($C34,'05_Theo_Doi_Gio_Cong_7_Ngay'!$B:$B,0))),""))</f>
      </c>
      <c r="Y34" s="60">
        <f t="array" ref="Y34">IF($C34="","",IFERROR(IF(INDEX('05_Theo_Doi_Gio_Cong_7_Ngay'!$M:$M,MATCH($C34,'05_Theo_Doi_Gio_Cong_7_Ngay'!$B:$B,0))=0,"",INDEX('05_Theo_Doi_Gio_Cong_7_Ngay'!$M:$M,MATCH($C34,'05_Theo_Doi_Gio_Cong_7_Ngay'!$B:$B,0))),""))</f>
      </c>
      <c r="Z34" s="60">
        <f t="array" ref="Z34">IF($C34="","",IFERROR(IF(INDEX('05_Theo_Doi_Gio_Cong_7_Ngay'!$Q:$Q,MATCH($C34,'05_Theo_Doi_Gio_Cong_7_Ngay'!$B:$B,0))=0,"",INDEX('05_Theo_Doi_Gio_Cong_7_Ngay'!$Q:$Q,MATCH($C34,'05_Theo_Doi_Gio_Cong_7_Ngay'!$B:$B,0))),""))</f>
      </c>
      <c r="AA34" s="60">
        <f t="array" ref="AA34">IF($B34="","",IFERROR(IF(INDEX('02_DS_Nhan_Viec'!$H:$H,MATCH($B34,'02_DS_Nhan_Viec'!$B:$B,0))=0,"",INDEX('02_DS_Nhan_Viec'!$H:$H,MATCH($B34,'02_DS_Nhan_Viec'!$B:$B,0))),""))</f>
      </c>
      <c r="AB34" s="60">
        <f t="array" ref="AB34">IF($B34="","",IFERROR(IF(INDEX('02_DS_Nhan_Viec'!$I:$I,MATCH($B34,'02_DS_Nhan_Viec'!$B:$B,0))=0,"",INDEX('02_DS_Nhan_Viec'!$I:$I,MATCH($B34,'02_DS_Nhan_Viec'!$B:$B,0))),""))</f>
      </c>
      <c r="AC34" s="61">
        <f t="array" ref="AC34">IF($B34="","",IF($C34="","Đang theo dõi",IF(OR(IFERROR(INDEX('05_Theo_Doi_Gio_Cong_7_Ngay'!$R:$R,MATCH($C34,'05_Theo_Doi_Gio_Cong_7_Ngay'!$B:$B,0)),"")="",IFERROR(INDEX('05_Theo_Doi_Gio_Cong_7_Ngay'!$R:$R,MATCH($C34,'05_Theo_Doi_Gio_Cong_7_Ngay'!$B:$B,0)),0)=0),"Đang theo dõi",IFERROR(INDEX('06_DS_Chinh_Thuc'!$K:$K,MATCH(IFERROR(INDEX('05_Theo_Doi_Gio_Cong_7_Ngay'!$R:$R,MATCH($C34,'05_Theo_Doi_Gio_Cong_7_Ngay'!$B:$B,0)),0),'06_DS_Chinh_Thuc'!$B:$B,0)),"Đang theo dõi"))))</f>
      </c>
    </row>
    <row r="35" ht="14.25" customHeight="1" spans="1:29" x14ac:dyDescent="0.25">
      <c r="A35" s="52">
        <f t="shared" si="0"/>
      </c>
      <c r="B35" s="52">
        <f t="array" ref="B35">IFERROR(INDEX('02_DS_Nhan_Viec'!$B:$B,MATCH(34,'02_DS_Nhan_Viec'!$M:$M,0)),"")</f>
      </c>
      <c r="C35" s="52">
        <f t="array" ref="C35">IF($B35="","",IFERROR(IF(INDEX('02_DS_Nhan_Viec'!$J:$J,MATCH($B35,'02_DS_Nhan_Viec'!$B:$B,0))=0,"",INDEX('02_DS_Nhan_Viec'!$J:$J,MATCH($B35,'02_DS_Nhan_Viec'!$B:$B,0))),""))</f>
      </c>
      <c r="D35" s="52">
        <f t="array" ref="D35">IF($C35="","",IFERROR(IF(INDEX('05_Theo_Doi_Gio_Cong_7_Ngay'!$R:$R,MATCH($C35,'05_Theo_Doi_Gio_Cong_7_Ngay'!$B:$B,0))=0,"",INDEX('05_Theo_Doi_Gio_Cong_7_Ngay'!$R:$R,MATCH($C35,'05_Theo_Doi_Gio_Cong_7_Ngay'!$B:$B,0))),""))</f>
      </c>
      <c r="E35" s="60">
        <f t="array" ref="E35">IF($B35="","",IFERROR(IF(INDEX('01_UngVien_PhongVan'!$D:$D,MATCH($B35,'01_UngVien_PhongVan'!$B:$B,0))=0,"",INDEX('01_UngVien_PhongVan'!$D:$D,MATCH($B35,'01_UngVien_PhongVan'!$B:$B,0))),""))</f>
      </c>
      <c r="F35" s="52">
        <f t="array" ref="F35">IF($B35="","",IFERROR(IF(INDEX('01_UngVien_PhongVan'!$F:$F,MATCH($B35,'01_UngVien_PhongVan'!$B:$B,0))=0,"",INDEX('01_UngVien_PhongVan'!$F:$F,MATCH($B35,'01_UngVien_PhongVan'!$B:$B,0))),""))</f>
      </c>
      <c r="G35" s="72">
        <f t="array" ref="G35">IF($B35="","",IFERROR(IF(INDEX('01_UngVien_PhongVan'!$G:$G,MATCH($B35,'01_UngVien_PhongVan'!$B:$B,0))=0,"",INDEX('01_UngVien_PhongVan'!$G:$G,MATCH($B35,'01_UngVien_PhongVan'!$B:$B,0))),""))</f>
      </c>
      <c r="H35" s="52">
        <f t="array" ref="H35">IF($B35="","",IFERROR(IF(INDEX('01_UngVien_PhongVan'!$H:$H,MATCH($B35,'01_UngVien_PhongVan'!$B:$B,0))=0,"",INDEX('01_UngVien_PhongVan'!$H:$H,MATCH($B35,'01_UngVien_PhongVan'!$B:$B,0))),""))</f>
      </c>
      <c r="I35" s="60">
        <f t="array" ref="I35">IF($B35="","",IFERROR(IF(INDEX('01_UngVien_PhongVan'!$I:$I,MATCH($B35,'01_UngVien_PhongVan'!$B:$B,0))=0,"",INDEX('01_UngVien_PhongVan'!$I:$I,MATCH($B35,'01_UngVien_PhongVan'!$B:$B,0))),""))</f>
      </c>
      <c r="J35" s="60">
        <f t="array" ref="J35">IF($B35="","",IFERROR(IF(INDEX('01_UngVien_PhongVan'!$J:$J,MATCH($B35,'01_UngVien_PhongVan'!$B:$B,0))=0,"",INDEX('01_UngVien_PhongVan'!$J:$J,MATCH($B35,'01_UngVien_PhongVan'!$B:$B,0))),""))</f>
      </c>
      <c r="K35" s="73">
        <f t="array" ref="K35">IF($B35="","",IFERROR(IF(INDEX('01_UngVien_PhongVan'!$K:$K,MATCH($B35,'01_UngVien_PhongVan'!$B:$B,0))=0,"",INDEX('01_UngVien_PhongVan'!$K:$K,MATCH($B35,'01_UngVien_PhongVan'!$B:$B,0))),""))</f>
      </c>
      <c r="L35" s="60">
        <f t="array" ref="L35">IF($B35="","",IFERROR(IF(INDEX('01_UngVien_PhongVan'!$L:$L,MATCH($B35,'01_UngVien_PhongVan'!$B:$B,0))=0,"",INDEX('01_UngVien_PhongVan'!$L:$L,MATCH($B35,'01_UngVien_PhongVan'!$B:$B,0))),""))</f>
      </c>
      <c r="M35" s="60">
        <f t="array" ref="M35">IF($B35="","",IFERROR(IF(INDEX('01_UngVien_PhongVan'!$E:$E,MATCH($B35,'01_UngVien_PhongVan'!$B:$B,0))=0,"",INDEX('01_UngVien_PhongVan'!$E:$E,MATCH($B35,'01_UngVien_PhongVan'!$B:$B,0))),""))</f>
      </c>
      <c r="N35" s="60">
        <f t="array" ref="N35">IF($B35="","",IFERROR(IF(INDEX('01_UngVien_PhongVan'!$M:$M,MATCH($B35,'01_UngVien_PhongVan'!$B:$B,0))=0,"",INDEX('01_UngVien_PhongVan'!$M:$M,MATCH($B35,'01_UngVien_PhongVan'!$B:$B,0))),""))</f>
      </c>
      <c r="O35" s="60">
        <f t="array" ref="O35">IF($B35="","",IFERROR(IF(INDEX('01_UngVien_PhongVan'!$N:$N,MATCH($B35,'01_UngVien_PhongVan'!$B:$B,0))=0,"",INDEX('01_UngVien_PhongVan'!$N:$N,MATCH($B35,'01_UngVien_PhongVan'!$B:$B,0))),""))</f>
      </c>
      <c r="P35" s="60">
        <f t="array" ref="P35">IF($B35="","",IFERROR(IF(INDEX('01_UngVien_PhongVan'!$O:$O,MATCH($B35,'01_UngVien_PhongVan'!$B:$B,0))=0,"",INDEX('01_UngVien_PhongVan'!$O:$O,MATCH($B35,'01_UngVien_PhongVan'!$B:$B,0))),""))</f>
      </c>
      <c r="Q35" s="60">
        <f t="array" ref="Q35">IF($B35="","",IFERROR(IF(INDEX('01_UngVien_PhongVan'!$P:$P,MATCH($B35,'01_UngVien_PhongVan'!$B:$B,0))=0,"",INDEX('01_UngVien_PhongVan'!$P:$P,MATCH($B35,'01_UngVien_PhongVan'!$B:$B,0))),""))</f>
      </c>
      <c r="R35" s="60">
        <f t="array" ref="R35">IF($B35="","",IFERROR(IF(INDEX('01_UngVien_PhongVan'!$Q:$Q,MATCH($B35,'01_UngVien_PhongVan'!$B:$B,0))=0,"",INDEX('01_UngVien_PhongVan'!$Q:$Q,MATCH($B35,'01_UngVien_PhongVan'!$B:$B,0))),""))</f>
      </c>
      <c r="S35" s="60">
        <f t="array" ref="S35">IF($B35="","",IFERROR(IF(INDEX('01_UngVien_PhongVan'!$R:$R,MATCH($B35,'01_UngVien_PhongVan'!$B:$B,0))=0,"",INDEX('01_UngVien_PhongVan'!$R:$R,MATCH($B35,'01_UngVien_PhongVan'!$B:$B,0))),""))</f>
      </c>
      <c r="T35" s="60">
        <f t="array" ref="T35">IF($B35="","",IFERROR(IF(INDEX('01_UngVien_PhongVan'!$U:$U,MATCH($B35,'01_UngVien_PhongVan'!$B:$B,0))=0,"",INDEX('01_UngVien_PhongVan'!$U:$U,MATCH($B35,'01_UngVien_PhongVan'!$B:$B,0))),""))</f>
      </c>
      <c r="U35" s="73">
        <f t="array" ref="U35">IF($B35="","",IFERROR(IF(INDEX('01_UngVien_PhongVan'!$C:$C,MATCH($B35,'01_UngVien_PhongVan'!$B:$B,0))=0,"",INDEX('01_UngVien_PhongVan'!$C:$C,MATCH($B35,'01_UngVien_PhongVan'!$B:$B,0))),""))</f>
      </c>
      <c r="V35" s="73">
        <f t="array" ref="V35">IF($B35="","",IFERROR(IF(INDEX('02_DS_Nhan_Viec'!$D:$D,MATCH($B35,'02_DS_Nhan_Viec'!$B:$B,0))=0,"",INDEX('02_DS_Nhan_Viec'!$D:$D,MATCH($B35,'02_DS_Nhan_Viec'!$B:$B,0))),""))</f>
      </c>
      <c r="W35" s="73">
        <f t="array" ref="W35">IF($B35="","",IFERROR(IF(INDEX('02_DS_Nhan_Viec'!$E:$E,MATCH($B35,'02_DS_Nhan_Viec'!$B:$B,0))=0,"",INDEX('02_DS_Nhan_Viec'!$E:$E,MATCH($B35,'02_DS_Nhan_Viec'!$B:$B,0))),""))</f>
      </c>
      <c r="X35" s="73">
        <f t="array" ref="X35">IF($C35="","",IFERROR(IF(INDEX('05_Theo_Doi_Gio_Cong_7_Ngay'!$P:$P,MATCH($C35,'05_Theo_Doi_Gio_Cong_7_Ngay'!$B:$B,0))=0,"",INDEX('05_Theo_Doi_Gio_Cong_7_Ngay'!$P:$P,MATCH($C35,'05_Theo_Doi_Gio_Cong_7_Ngay'!$B:$B,0))),""))</f>
      </c>
      <c r="Y35" s="60">
        <f t="array" ref="Y35">IF($C35="","",IFERROR(IF(INDEX('05_Theo_Doi_Gio_Cong_7_Ngay'!$M:$M,MATCH($C35,'05_Theo_Doi_Gio_Cong_7_Ngay'!$B:$B,0))=0,"",INDEX('05_Theo_Doi_Gio_Cong_7_Ngay'!$M:$M,MATCH($C35,'05_Theo_Doi_Gio_Cong_7_Ngay'!$B:$B,0))),""))</f>
      </c>
      <c r="Z35" s="60">
        <f t="array" ref="Z35">IF($C35="","",IFERROR(IF(INDEX('05_Theo_Doi_Gio_Cong_7_Ngay'!$Q:$Q,MATCH($C35,'05_Theo_Doi_Gio_Cong_7_Ngay'!$B:$B,0))=0,"",INDEX('05_Theo_Doi_Gio_Cong_7_Ngay'!$Q:$Q,MATCH($C35,'05_Theo_Doi_Gio_Cong_7_Ngay'!$B:$B,0))),""))</f>
      </c>
      <c r="AA35" s="60">
        <f t="array" ref="AA35">IF($B35="","",IFERROR(IF(INDEX('02_DS_Nhan_Viec'!$H:$H,MATCH($B35,'02_DS_Nhan_Viec'!$B:$B,0))=0,"",INDEX('02_DS_Nhan_Viec'!$H:$H,MATCH($B35,'02_DS_Nhan_Viec'!$B:$B,0))),""))</f>
      </c>
      <c r="AB35" s="60">
        <f t="array" ref="AB35">IF($B35="","",IFERROR(IF(INDEX('02_DS_Nhan_Viec'!$I:$I,MATCH($B35,'02_DS_Nhan_Viec'!$B:$B,0))=0,"",INDEX('02_DS_Nhan_Viec'!$I:$I,MATCH($B35,'02_DS_Nhan_Viec'!$B:$B,0))),""))</f>
      </c>
      <c r="AC35" s="61">
        <f t="array" ref="AC35">IF($B35="","",IF($C35="","Đang theo dõi",IF(OR(IFERROR(INDEX('05_Theo_Doi_Gio_Cong_7_Ngay'!$R:$R,MATCH($C35,'05_Theo_Doi_Gio_Cong_7_Ngay'!$B:$B,0)),"")="",IFERROR(INDEX('05_Theo_Doi_Gio_Cong_7_Ngay'!$R:$R,MATCH($C35,'05_Theo_Doi_Gio_Cong_7_Ngay'!$B:$B,0)),0)=0),"Đang theo dõi",IFERROR(INDEX('06_DS_Chinh_Thuc'!$K:$K,MATCH(IFERROR(INDEX('05_Theo_Doi_Gio_Cong_7_Ngay'!$R:$R,MATCH($C35,'05_Theo_Doi_Gio_Cong_7_Ngay'!$B:$B,0)),0),'06_DS_Chinh_Thuc'!$B:$B,0)),"Đang theo dõi"))))</f>
      </c>
    </row>
    <row r="36" ht="14.25" customHeight="1" spans="1:29" x14ac:dyDescent="0.25">
      <c r="A36" s="52">
        <f t="shared" si="0"/>
      </c>
      <c r="B36" s="52">
        <f t="array" ref="B36">IFERROR(INDEX('02_DS_Nhan_Viec'!$B:$B,MATCH(35,'02_DS_Nhan_Viec'!$M:$M,0)),"")</f>
      </c>
      <c r="C36" s="52">
        <f t="array" ref="C36">IF($B36="","",IFERROR(IF(INDEX('02_DS_Nhan_Viec'!$J:$J,MATCH($B36,'02_DS_Nhan_Viec'!$B:$B,0))=0,"",INDEX('02_DS_Nhan_Viec'!$J:$J,MATCH($B36,'02_DS_Nhan_Viec'!$B:$B,0))),""))</f>
      </c>
      <c r="D36" s="52">
        <f t="array" ref="D36">IF($C36="","",IFERROR(IF(INDEX('05_Theo_Doi_Gio_Cong_7_Ngay'!$R:$R,MATCH($C36,'05_Theo_Doi_Gio_Cong_7_Ngay'!$B:$B,0))=0,"",INDEX('05_Theo_Doi_Gio_Cong_7_Ngay'!$R:$R,MATCH($C36,'05_Theo_Doi_Gio_Cong_7_Ngay'!$B:$B,0))),""))</f>
      </c>
      <c r="E36" s="60">
        <f t="array" ref="E36">IF($B36="","",IFERROR(IF(INDEX('01_UngVien_PhongVan'!$D:$D,MATCH($B36,'01_UngVien_PhongVan'!$B:$B,0))=0,"",INDEX('01_UngVien_PhongVan'!$D:$D,MATCH($B36,'01_UngVien_PhongVan'!$B:$B,0))),""))</f>
      </c>
      <c r="F36" s="52">
        <f t="array" ref="F36">IF($B36="","",IFERROR(IF(INDEX('01_UngVien_PhongVan'!$F:$F,MATCH($B36,'01_UngVien_PhongVan'!$B:$B,0))=0,"",INDEX('01_UngVien_PhongVan'!$F:$F,MATCH($B36,'01_UngVien_PhongVan'!$B:$B,0))),""))</f>
      </c>
      <c r="G36" s="72">
        <f t="array" ref="G36">IF($B36="","",IFERROR(IF(INDEX('01_UngVien_PhongVan'!$G:$G,MATCH($B36,'01_UngVien_PhongVan'!$B:$B,0))=0,"",INDEX('01_UngVien_PhongVan'!$G:$G,MATCH($B36,'01_UngVien_PhongVan'!$B:$B,0))),""))</f>
      </c>
      <c r="H36" s="52">
        <f t="array" ref="H36">IF($B36="","",IFERROR(IF(INDEX('01_UngVien_PhongVan'!$H:$H,MATCH($B36,'01_UngVien_PhongVan'!$B:$B,0))=0,"",INDEX('01_UngVien_PhongVan'!$H:$H,MATCH($B36,'01_UngVien_PhongVan'!$B:$B,0))),""))</f>
      </c>
      <c r="I36" s="60">
        <f t="array" ref="I36">IF($B36="","",IFERROR(IF(INDEX('01_UngVien_PhongVan'!$I:$I,MATCH($B36,'01_UngVien_PhongVan'!$B:$B,0))=0,"",INDEX('01_UngVien_PhongVan'!$I:$I,MATCH($B36,'01_UngVien_PhongVan'!$B:$B,0))),""))</f>
      </c>
      <c r="J36" s="60">
        <f t="array" ref="J36">IF($B36="","",IFERROR(IF(INDEX('01_UngVien_PhongVan'!$J:$J,MATCH($B36,'01_UngVien_PhongVan'!$B:$B,0))=0,"",INDEX('01_UngVien_PhongVan'!$J:$J,MATCH($B36,'01_UngVien_PhongVan'!$B:$B,0))),""))</f>
      </c>
      <c r="K36" s="73">
        <f t="array" ref="K36">IF($B36="","",IFERROR(IF(INDEX('01_UngVien_PhongVan'!$K:$K,MATCH($B36,'01_UngVien_PhongVan'!$B:$B,0))=0,"",INDEX('01_UngVien_PhongVan'!$K:$K,MATCH($B36,'01_UngVien_PhongVan'!$B:$B,0))),""))</f>
      </c>
      <c r="L36" s="60">
        <f t="array" ref="L36">IF($B36="","",IFERROR(IF(INDEX('01_UngVien_PhongVan'!$L:$L,MATCH($B36,'01_UngVien_PhongVan'!$B:$B,0))=0,"",INDEX('01_UngVien_PhongVan'!$L:$L,MATCH($B36,'01_UngVien_PhongVan'!$B:$B,0))),""))</f>
      </c>
      <c r="M36" s="60">
        <f t="array" ref="M36">IF($B36="","",IFERROR(IF(INDEX('01_UngVien_PhongVan'!$E:$E,MATCH($B36,'01_UngVien_PhongVan'!$B:$B,0))=0,"",INDEX('01_UngVien_PhongVan'!$E:$E,MATCH($B36,'01_UngVien_PhongVan'!$B:$B,0))),""))</f>
      </c>
      <c r="N36" s="60">
        <f t="array" ref="N36">IF($B36="","",IFERROR(IF(INDEX('01_UngVien_PhongVan'!$M:$M,MATCH($B36,'01_UngVien_PhongVan'!$B:$B,0))=0,"",INDEX('01_UngVien_PhongVan'!$M:$M,MATCH($B36,'01_UngVien_PhongVan'!$B:$B,0))),""))</f>
      </c>
      <c r="O36" s="60">
        <f t="array" ref="O36">IF($B36="","",IFERROR(IF(INDEX('01_UngVien_PhongVan'!$N:$N,MATCH($B36,'01_UngVien_PhongVan'!$B:$B,0))=0,"",INDEX('01_UngVien_PhongVan'!$N:$N,MATCH($B36,'01_UngVien_PhongVan'!$B:$B,0))),""))</f>
      </c>
      <c r="P36" s="60">
        <f t="array" ref="P36">IF($B36="","",IFERROR(IF(INDEX('01_UngVien_PhongVan'!$O:$O,MATCH($B36,'01_UngVien_PhongVan'!$B:$B,0))=0,"",INDEX('01_UngVien_PhongVan'!$O:$O,MATCH($B36,'01_UngVien_PhongVan'!$B:$B,0))),""))</f>
      </c>
      <c r="Q36" s="60">
        <f t="array" ref="Q36">IF($B36="","",IFERROR(IF(INDEX('01_UngVien_PhongVan'!$P:$P,MATCH($B36,'01_UngVien_PhongVan'!$B:$B,0))=0,"",INDEX('01_UngVien_PhongVan'!$P:$P,MATCH($B36,'01_UngVien_PhongVan'!$B:$B,0))),""))</f>
      </c>
      <c r="R36" s="60">
        <f t="array" ref="R36">IF($B36="","",IFERROR(IF(INDEX('01_UngVien_PhongVan'!$Q:$Q,MATCH($B36,'01_UngVien_PhongVan'!$B:$B,0))=0,"",INDEX('01_UngVien_PhongVan'!$Q:$Q,MATCH($B36,'01_UngVien_PhongVan'!$B:$B,0))),""))</f>
      </c>
      <c r="S36" s="60">
        <f t="array" ref="S36">IF($B36="","",IFERROR(IF(INDEX('01_UngVien_PhongVan'!$R:$R,MATCH($B36,'01_UngVien_PhongVan'!$B:$B,0))=0,"",INDEX('01_UngVien_PhongVan'!$R:$R,MATCH($B36,'01_UngVien_PhongVan'!$B:$B,0))),""))</f>
      </c>
      <c r="T36" s="60">
        <f t="array" ref="T36">IF($B36="","",IFERROR(IF(INDEX('01_UngVien_PhongVan'!$U:$U,MATCH($B36,'01_UngVien_PhongVan'!$B:$B,0))=0,"",INDEX('01_UngVien_PhongVan'!$U:$U,MATCH($B36,'01_UngVien_PhongVan'!$B:$B,0))),""))</f>
      </c>
      <c r="U36" s="73">
        <f t="array" ref="U36">IF($B36="","",IFERROR(IF(INDEX('01_UngVien_PhongVan'!$C:$C,MATCH($B36,'01_UngVien_PhongVan'!$B:$B,0))=0,"",INDEX('01_UngVien_PhongVan'!$C:$C,MATCH($B36,'01_UngVien_PhongVan'!$B:$B,0))),""))</f>
      </c>
      <c r="V36" s="73">
        <f t="array" ref="V36">IF($B36="","",IFERROR(IF(INDEX('02_DS_Nhan_Viec'!$D:$D,MATCH($B36,'02_DS_Nhan_Viec'!$B:$B,0))=0,"",INDEX('02_DS_Nhan_Viec'!$D:$D,MATCH($B36,'02_DS_Nhan_Viec'!$B:$B,0))),""))</f>
      </c>
      <c r="W36" s="73">
        <f t="array" ref="W36">IF($B36="","",IFERROR(IF(INDEX('02_DS_Nhan_Viec'!$E:$E,MATCH($B36,'02_DS_Nhan_Viec'!$B:$B,0))=0,"",INDEX('02_DS_Nhan_Viec'!$E:$E,MATCH($B36,'02_DS_Nhan_Viec'!$B:$B,0))),""))</f>
      </c>
      <c r="X36" s="73">
        <f t="array" ref="X36">IF($C36="","",IFERROR(IF(INDEX('05_Theo_Doi_Gio_Cong_7_Ngay'!$P:$P,MATCH($C36,'05_Theo_Doi_Gio_Cong_7_Ngay'!$B:$B,0))=0,"",INDEX('05_Theo_Doi_Gio_Cong_7_Ngay'!$P:$P,MATCH($C36,'05_Theo_Doi_Gio_Cong_7_Ngay'!$B:$B,0))),""))</f>
      </c>
      <c r="Y36" s="60">
        <f t="array" ref="Y36">IF($C36="","",IFERROR(IF(INDEX('05_Theo_Doi_Gio_Cong_7_Ngay'!$M:$M,MATCH($C36,'05_Theo_Doi_Gio_Cong_7_Ngay'!$B:$B,0))=0,"",INDEX('05_Theo_Doi_Gio_Cong_7_Ngay'!$M:$M,MATCH($C36,'05_Theo_Doi_Gio_Cong_7_Ngay'!$B:$B,0))),""))</f>
      </c>
      <c r="Z36" s="60">
        <f t="array" ref="Z36">IF($C36="","",IFERROR(IF(INDEX('05_Theo_Doi_Gio_Cong_7_Ngay'!$Q:$Q,MATCH($C36,'05_Theo_Doi_Gio_Cong_7_Ngay'!$B:$B,0))=0,"",INDEX('05_Theo_Doi_Gio_Cong_7_Ngay'!$Q:$Q,MATCH($C36,'05_Theo_Doi_Gio_Cong_7_Ngay'!$B:$B,0))),""))</f>
      </c>
      <c r="AA36" s="60">
        <f t="array" ref="AA36">IF($B36="","",IFERROR(IF(INDEX('02_DS_Nhan_Viec'!$H:$H,MATCH($B36,'02_DS_Nhan_Viec'!$B:$B,0))=0,"",INDEX('02_DS_Nhan_Viec'!$H:$H,MATCH($B36,'02_DS_Nhan_Viec'!$B:$B,0))),""))</f>
      </c>
      <c r="AB36" s="60">
        <f t="array" ref="AB36">IF($B36="","",IFERROR(IF(INDEX('02_DS_Nhan_Viec'!$I:$I,MATCH($B36,'02_DS_Nhan_Viec'!$B:$B,0))=0,"",INDEX('02_DS_Nhan_Viec'!$I:$I,MATCH($B36,'02_DS_Nhan_Viec'!$B:$B,0))),""))</f>
      </c>
      <c r="AC36" s="61">
        <f t="array" ref="AC36">IF($B36="","",IF($C36="","Đang theo dõi",IF(OR(IFERROR(INDEX('05_Theo_Doi_Gio_Cong_7_Ngay'!$R:$R,MATCH($C36,'05_Theo_Doi_Gio_Cong_7_Ngay'!$B:$B,0)),"")="",IFERROR(INDEX('05_Theo_Doi_Gio_Cong_7_Ngay'!$R:$R,MATCH($C36,'05_Theo_Doi_Gio_Cong_7_Ngay'!$B:$B,0)),0)=0),"Đang theo dõi",IFERROR(INDEX('06_DS_Chinh_Thuc'!$K:$K,MATCH(IFERROR(INDEX('05_Theo_Doi_Gio_Cong_7_Ngay'!$R:$R,MATCH($C36,'05_Theo_Doi_Gio_Cong_7_Ngay'!$B:$B,0)),0),'06_DS_Chinh_Thuc'!$B:$B,0)),"Đang theo dõi"))))</f>
      </c>
    </row>
    <row r="37" ht="14.25" customHeight="1" spans="1:29" x14ac:dyDescent="0.25">
      <c r="A37" s="52">
        <f t="shared" si="0"/>
      </c>
      <c r="B37" s="52">
        <f t="array" ref="B37">IFERROR(INDEX('02_DS_Nhan_Viec'!$B:$B,MATCH(36,'02_DS_Nhan_Viec'!$M:$M,0)),"")</f>
      </c>
      <c r="C37" s="52">
        <f t="array" ref="C37">IF($B37="","",IFERROR(IF(INDEX('02_DS_Nhan_Viec'!$J:$J,MATCH($B37,'02_DS_Nhan_Viec'!$B:$B,0))=0,"",INDEX('02_DS_Nhan_Viec'!$J:$J,MATCH($B37,'02_DS_Nhan_Viec'!$B:$B,0))),""))</f>
      </c>
      <c r="D37" s="52">
        <f t="array" ref="D37">IF($C37="","",IFERROR(IF(INDEX('05_Theo_Doi_Gio_Cong_7_Ngay'!$R:$R,MATCH($C37,'05_Theo_Doi_Gio_Cong_7_Ngay'!$B:$B,0))=0,"",INDEX('05_Theo_Doi_Gio_Cong_7_Ngay'!$R:$R,MATCH($C37,'05_Theo_Doi_Gio_Cong_7_Ngay'!$B:$B,0))),""))</f>
      </c>
      <c r="E37" s="60">
        <f t="array" ref="E37">IF($B37="","",IFERROR(IF(INDEX('01_UngVien_PhongVan'!$D:$D,MATCH($B37,'01_UngVien_PhongVan'!$B:$B,0))=0,"",INDEX('01_UngVien_PhongVan'!$D:$D,MATCH($B37,'01_UngVien_PhongVan'!$B:$B,0))),""))</f>
      </c>
      <c r="F37" s="52">
        <f t="array" ref="F37">IF($B37="","",IFERROR(IF(INDEX('01_UngVien_PhongVan'!$F:$F,MATCH($B37,'01_UngVien_PhongVan'!$B:$B,0))=0,"",INDEX('01_UngVien_PhongVan'!$F:$F,MATCH($B37,'01_UngVien_PhongVan'!$B:$B,0))),""))</f>
      </c>
      <c r="G37" s="72">
        <f t="array" ref="G37">IF($B37="","",IFERROR(IF(INDEX('01_UngVien_PhongVan'!$G:$G,MATCH($B37,'01_UngVien_PhongVan'!$B:$B,0))=0,"",INDEX('01_UngVien_PhongVan'!$G:$G,MATCH($B37,'01_UngVien_PhongVan'!$B:$B,0))),""))</f>
      </c>
      <c r="H37" s="52">
        <f t="array" ref="H37">IF($B37="","",IFERROR(IF(INDEX('01_UngVien_PhongVan'!$H:$H,MATCH($B37,'01_UngVien_PhongVan'!$B:$B,0))=0,"",INDEX('01_UngVien_PhongVan'!$H:$H,MATCH($B37,'01_UngVien_PhongVan'!$B:$B,0))),""))</f>
      </c>
      <c r="I37" s="60">
        <f t="array" ref="I37">IF($B37="","",IFERROR(IF(INDEX('01_UngVien_PhongVan'!$I:$I,MATCH($B37,'01_UngVien_PhongVan'!$B:$B,0))=0,"",INDEX('01_UngVien_PhongVan'!$I:$I,MATCH($B37,'01_UngVien_PhongVan'!$B:$B,0))),""))</f>
      </c>
      <c r="J37" s="60">
        <f t="array" ref="J37">IF($B37="","",IFERROR(IF(INDEX('01_UngVien_PhongVan'!$J:$J,MATCH($B37,'01_UngVien_PhongVan'!$B:$B,0))=0,"",INDEX('01_UngVien_PhongVan'!$J:$J,MATCH($B37,'01_UngVien_PhongVan'!$B:$B,0))),""))</f>
      </c>
      <c r="K37" s="73">
        <f t="array" ref="K37">IF($B37="","",IFERROR(IF(INDEX('01_UngVien_PhongVan'!$K:$K,MATCH($B37,'01_UngVien_PhongVan'!$B:$B,0))=0,"",INDEX('01_UngVien_PhongVan'!$K:$K,MATCH($B37,'01_UngVien_PhongVan'!$B:$B,0))),""))</f>
      </c>
      <c r="L37" s="60">
        <f t="array" ref="L37">IF($B37="","",IFERROR(IF(INDEX('01_UngVien_PhongVan'!$L:$L,MATCH($B37,'01_UngVien_PhongVan'!$B:$B,0))=0,"",INDEX('01_UngVien_PhongVan'!$L:$L,MATCH($B37,'01_UngVien_PhongVan'!$B:$B,0))),""))</f>
      </c>
      <c r="M37" s="60">
        <f t="array" ref="M37">IF($B37="","",IFERROR(IF(INDEX('01_UngVien_PhongVan'!$E:$E,MATCH($B37,'01_UngVien_PhongVan'!$B:$B,0))=0,"",INDEX('01_UngVien_PhongVan'!$E:$E,MATCH($B37,'01_UngVien_PhongVan'!$B:$B,0))),""))</f>
      </c>
      <c r="N37" s="60">
        <f t="array" ref="N37">IF($B37="","",IFERROR(IF(INDEX('01_UngVien_PhongVan'!$M:$M,MATCH($B37,'01_UngVien_PhongVan'!$B:$B,0))=0,"",INDEX('01_UngVien_PhongVan'!$M:$M,MATCH($B37,'01_UngVien_PhongVan'!$B:$B,0))),""))</f>
      </c>
      <c r="O37" s="60">
        <f t="array" ref="O37">IF($B37="","",IFERROR(IF(INDEX('01_UngVien_PhongVan'!$N:$N,MATCH($B37,'01_UngVien_PhongVan'!$B:$B,0))=0,"",INDEX('01_UngVien_PhongVan'!$N:$N,MATCH($B37,'01_UngVien_PhongVan'!$B:$B,0))),""))</f>
      </c>
      <c r="P37" s="60">
        <f t="array" ref="P37">IF($B37="","",IFERROR(IF(INDEX('01_UngVien_PhongVan'!$O:$O,MATCH($B37,'01_UngVien_PhongVan'!$B:$B,0))=0,"",INDEX('01_UngVien_PhongVan'!$O:$O,MATCH($B37,'01_UngVien_PhongVan'!$B:$B,0))),""))</f>
      </c>
      <c r="Q37" s="60">
        <f t="array" ref="Q37">IF($B37="","",IFERROR(IF(INDEX('01_UngVien_PhongVan'!$P:$P,MATCH($B37,'01_UngVien_PhongVan'!$B:$B,0))=0,"",INDEX('01_UngVien_PhongVan'!$P:$P,MATCH($B37,'01_UngVien_PhongVan'!$B:$B,0))),""))</f>
      </c>
      <c r="R37" s="60">
        <f t="array" ref="R37">IF($B37="","",IFERROR(IF(INDEX('01_UngVien_PhongVan'!$Q:$Q,MATCH($B37,'01_UngVien_PhongVan'!$B:$B,0))=0,"",INDEX('01_UngVien_PhongVan'!$Q:$Q,MATCH($B37,'01_UngVien_PhongVan'!$B:$B,0))),""))</f>
      </c>
      <c r="S37" s="60">
        <f t="array" ref="S37">IF($B37="","",IFERROR(IF(INDEX('01_UngVien_PhongVan'!$R:$R,MATCH($B37,'01_UngVien_PhongVan'!$B:$B,0))=0,"",INDEX('01_UngVien_PhongVan'!$R:$R,MATCH($B37,'01_UngVien_PhongVan'!$B:$B,0))),""))</f>
      </c>
      <c r="T37" s="60">
        <f t="array" ref="T37">IF($B37="","",IFERROR(IF(INDEX('01_UngVien_PhongVan'!$U:$U,MATCH($B37,'01_UngVien_PhongVan'!$B:$B,0))=0,"",INDEX('01_UngVien_PhongVan'!$U:$U,MATCH($B37,'01_UngVien_PhongVan'!$B:$B,0))),""))</f>
      </c>
      <c r="U37" s="73">
        <f t="array" ref="U37">IF($B37="","",IFERROR(IF(INDEX('01_UngVien_PhongVan'!$C:$C,MATCH($B37,'01_UngVien_PhongVan'!$B:$B,0))=0,"",INDEX('01_UngVien_PhongVan'!$C:$C,MATCH($B37,'01_UngVien_PhongVan'!$B:$B,0))),""))</f>
      </c>
      <c r="V37" s="73">
        <f t="array" ref="V37">IF($B37="","",IFERROR(IF(INDEX('02_DS_Nhan_Viec'!$D:$D,MATCH($B37,'02_DS_Nhan_Viec'!$B:$B,0))=0,"",INDEX('02_DS_Nhan_Viec'!$D:$D,MATCH($B37,'02_DS_Nhan_Viec'!$B:$B,0))),""))</f>
      </c>
      <c r="W37" s="73">
        <f t="array" ref="W37">IF($B37="","",IFERROR(IF(INDEX('02_DS_Nhan_Viec'!$E:$E,MATCH($B37,'02_DS_Nhan_Viec'!$B:$B,0))=0,"",INDEX('02_DS_Nhan_Viec'!$E:$E,MATCH($B37,'02_DS_Nhan_Viec'!$B:$B,0))),""))</f>
      </c>
      <c r="X37" s="73">
        <f t="array" ref="X37">IF($C37="","",IFERROR(IF(INDEX('05_Theo_Doi_Gio_Cong_7_Ngay'!$P:$P,MATCH($C37,'05_Theo_Doi_Gio_Cong_7_Ngay'!$B:$B,0))=0,"",INDEX('05_Theo_Doi_Gio_Cong_7_Ngay'!$P:$P,MATCH($C37,'05_Theo_Doi_Gio_Cong_7_Ngay'!$B:$B,0))),""))</f>
      </c>
      <c r="Y37" s="60">
        <f t="array" ref="Y37">IF($C37="","",IFERROR(IF(INDEX('05_Theo_Doi_Gio_Cong_7_Ngay'!$M:$M,MATCH($C37,'05_Theo_Doi_Gio_Cong_7_Ngay'!$B:$B,0))=0,"",INDEX('05_Theo_Doi_Gio_Cong_7_Ngay'!$M:$M,MATCH($C37,'05_Theo_Doi_Gio_Cong_7_Ngay'!$B:$B,0))),""))</f>
      </c>
      <c r="Z37" s="60">
        <f t="array" ref="Z37">IF($C37="","",IFERROR(IF(INDEX('05_Theo_Doi_Gio_Cong_7_Ngay'!$Q:$Q,MATCH($C37,'05_Theo_Doi_Gio_Cong_7_Ngay'!$B:$B,0))=0,"",INDEX('05_Theo_Doi_Gio_Cong_7_Ngay'!$Q:$Q,MATCH($C37,'05_Theo_Doi_Gio_Cong_7_Ngay'!$B:$B,0))),""))</f>
      </c>
      <c r="AA37" s="60">
        <f t="array" ref="AA37">IF($B37="","",IFERROR(IF(INDEX('02_DS_Nhan_Viec'!$H:$H,MATCH($B37,'02_DS_Nhan_Viec'!$B:$B,0))=0,"",INDEX('02_DS_Nhan_Viec'!$H:$H,MATCH($B37,'02_DS_Nhan_Viec'!$B:$B,0))),""))</f>
      </c>
      <c r="AB37" s="60">
        <f t="array" ref="AB37">IF($B37="","",IFERROR(IF(INDEX('02_DS_Nhan_Viec'!$I:$I,MATCH($B37,'02_DS_Nhan_Viec'!$B:$B,0))=0,"",INDEX('02_DS_Nhan_Viec'!$I:$I,MATCH($B37,'02_DS_Nhan_Viec'!$B:$B,0))),""))</f>
      </c>
      <c r="AC37" s="61">
        <f t="array" ref="AC37">IF($B37="","",IF($C37="","Đang theo dõi",IF(OR(IFERROR(INDEX('05_Theo_Doi_Gio_Cong_7_Ngay'!$R:$R,MATCH($C37,'05_Theo_Doi_Gio_Cong_7_Ngay'!$B:$B,0)),"")="",IFERROR(INDEX('05_Theo_Doi_Gio_Cong_7_Ngay'!$R:$R,MATCH($C37,'05_Theo_Doi_Gio_Cong_7_Ngay'!$B:$B,0)),0)=0),"Đang theo dõi",IFERROR(INDEX('06_DS_Chinh_Thuc'!$K:$K,MATCH(IFERROR(INDEX('05_Theo_Doi_Gio_Cong_7_Ngay'!$R:$R,MATCH($C37,'05_Theo_Doi_Gio_Cong_7_Ngay'!$B:$B,0)),0),'06_DS_Chinh_Thuc'!$B:$B,0)),"Đang theo dõi"))))</f>
      </c>
    </row>
    <row r="38" ht="14.25" customHeight="1" spans="1:29" x14ac:dyDescent="0.25">
      <c r="A38" s="52">
        <f t="shared" si="0"/>
      </c>
      <c r="B38" s="52">
        <f t="array" ref="B38">IFERROR(INDEX('02_DS_Nhan_Viec'!$B:$B,MATCH(37,'02_DS_Nhan_Viec'!$M:$M,0)),"")</f>
      </c>
      <c r="C38" s="52">
        <f t="array" ref="C38">IF($B38="","",IFERROR(IF(INDEX('02_DS_Nhan_Viec'!$J:$J,MATCH($B38,'02_DS_Nhan_Viec'!$B:$B,0))=0,"",INDEX('02_DS_Nhan_Viec'!$J:$J,MATCH($B38,'02_DS_Nhan_Viec'!$B:$B,0))),""))</f>
      </c>
      <c r="D38" s="52">
        <f t="array" ref="D38">IF($C38="","",IFERROR(IF(INDEX('05_Theo_Doi_Gio_Cong_7_Ngay'!$R:$R,MATCH($C38,'05_Theo_Doi_Gio_Cong_7_Ngay'!$B:$B,0))=0,"",INDEX('05_Theo_Doi_Gio_Cong_7_Ngay'!$R:$R,MATCH($C38,'05_Theo_Doi_Gio_Cong_7_Ngay'!$B:$B,0))),""))</f>
      </c>
      <c r="E38" s="60">
        <f t="array" ref="E38">IF($B38="","",IFERROR(IF(INDEX('01_UngVien_PhongVan'!$D:$D,MATCH($B38,'01_UngVien_PhongVan'!$B:$B,0))=0,"",INDEX('01_UngVien_PhongVan'!$D:$D,MATCH($B38,'01_UngVien_PhongVan'!$B:$B,0))),""))</f>
      </c>
      <c r="F38" s="52">
        <f t="array" ref="F38">IF($B38="","",IFERROR(IF(INDEX('01_UngVien_PhongVan'!$F:$F,MATCH($B38,'01_UngVien_PhongVan'!$B:$B,0))=0,"",INDEX('01_UngVien_PhongVan'!$F:$F,MATCH($B38,'01_UngVien_PhongVan'!$B:$B,0))),""))</f>
      </c>
      <c r="G38" s="72">
        <f t="array" ref="G38">IF($B38="","",IFERROR(IF(INDEX('01_UngVien_PhongVan'!$G:$G,MATCH($B38,'01_UngVien_PhongVan'!$B:$B,0))=0,"",INDEX('01_UngVien_PhongVan'!$G:$G,MATCH($B38,'01_UngVien_PhongVan'!$B:$B,0))),""))</f>
      </c>
      <c r="H38" s="52">
        <f t="array" ref="H38">IF($B38="","",IFERROR(IF(INDEX('01_UngVien_PhongVan'!$H:$H,MATCH($B38,'01_UngVien_PhongVan'!$B:$B,0))=0,"",INDEX('01_UngVien_PhongVan'!$H:$H,MATCH($B38,'01_UngVien_PhongVan'!$B:$B,0))),""))</f>
      </c>
      <c r="I38" s="60">
        <f t="array" ref="I38">IF($B38="","",IFERROR(IF(INDEX('01_UngVien_PhongVan'!$I:$I,MATCH($B38,'01_UngVien_PhongVan'!$B:$B,0))=0,"",INDEX('01_UngVien_PhongVan'!$I:$I,MATCH($B38,'01_UngVien_PhongVan'!$B:$B,0))),""))</f>
      </c>
      <c r="J38" s="60">
        <f t="array" ref="J38">IF($B38="","",IFERROR(IF(INDEX('01_UngVien_PhongVan'!$J:$J,MATCH($B38,'01_UngVien_PhongVan'!$B:$B,0))=0,"",INDEX('01_UngVien_PhongVan'!$J:$J,MATCH($B38,'01_UngVien_PhongVan'!$B:$B,0))),""))</f>
      </c>
      <c r="K38" s="73">
        <f t="array" ref="K38">IF($B38="","",IFERROR(IF(INDEX('01_UngVien_PhongVan'!$K:$K,MATCH($B38,'01_UngVien_PhongVan'!$B:$B,0))=0,"",INDEX('01_UngVien_PhongVan'!$K:$K,MATCH($B38,'01_UngVien_PhongVan'!$B:$B,0))),""))</f>
      </c>
      <c r="L38" s="60">
        <f t="array" ref="L38">IF($B38="","",IFERROR(IF(INDEX('01_UngVien_PhongVan'!$L:$L,MATCH($B38,'01_UngVien_PhongVan'!$B:$B,0))=0,"",INDEX('01_UngVien_PhongVan'!$L:$L,MATCH($B38,'01_UngVien_PhongVan'!$B:$B,0))),""))</f>
      </c>
      <c r="M38" s="60">
        <f t="array" ref="M38">IF($B38="","",IFERROR(IF(INDEX('01_UngVien_PhongVan'!$E:$E,MATCH($B38,'01_UngVien_PhongVan'!$B:$B,0))=0,"",INDEX('01_UngVien_PhongVan'!$E:$E,MATCH($B38,'01_UngVien_PhongVan'!$B:$B,0))),""))</f>
      </c>
      <c r="N38" s="60">
        <f t="array" ref="N38">IF($B38="","",IFERROR(IF(INDEX('01_UngVien_PhongVan'!$M:$M,MATCH($B38,'01_UngVien_PhongVan'!$B:$B,0))=0,"",INDEX('01_UngVien_PhongVan'!$M:$M,MATCH($B38,'01_UngVien_PhongVan'!$B:$B,0))),""))</f>
      </c>
      <c r="O38" s="60">
        <f t="array" ref="O38">IF($B38="","",IFERROR(IF(INDEX('01_UngVien_PhongVan'!$N:$N,MATCH($B38,'01_UngVien_PhongVan'!$B:$B,0))=0,"",INDEX('01_UngVien_PhongVan'!$N:$N,MATCH($B38,'01_UngVien_PhongVan'!$B:$B,0))),""))</f>
      </c>
      <c r="P38" s="60">
        <f t="array" ref="P38">IF($B38="","",IFERROR(IF(INDEX('01_UngVien_PhongVan'!$O:$O,MATCH($B38,'01_UngVien_PhongVan'!$B:$B,0))=0,"",INDEX('01_UngVien_PhongVan'!$O:$O,MATCH($B38,'01_UngVien_PhongVan'!$B:$B,0))),""))</f>
      </c>
      <c r="Q38" s="60">
        <f t="array" ref="Q38">IF($B38="","",IFERROR(IF(INDEX('01_UngVien_PhongVan'!$P:$P,MATCH($B38,'01_UngVien_PhongVan'!$B:$B,0))=0,"",INDEX('01_UngVien_PhongVan'!$P:$P,MATCH($B38,'01_UngVien_PhongVan'!$B:$B,0))),""))</f>
      </c>
      <c r="R38" s="60">
        <f t="array" ref="R38">IF($B38="","",IFERROR(IF(INDEX('01_UngVien_PhongVan'!$Q:$Q,MATCH($B38,'01_UngVien_PhongVan'!$B:$B,0))=0,"",INDEX('01_UngVien_PhongVan'!$Q:$Q,MATCH($B38,'01_UngVien_PhongVan'!$B:$B,0))),""))</f>
      </c>
      <c r="S38" s="60">
        <f t="array" ref="S38">IF($B38="","",IFERROR(IF(INDEX('01_UngVien_PhongVan'!$R:$R,MATCH($B38,'01_UngVien_PhongVan'!$B:$B,0))=0,"",INDEX('01_UngVien_PhongVan'!$R:$R,MATCH($B38,'01_UngVien_PhongVan'!$B:$B,0))),""))</f>
      </c>
      <c r="T38" s="60">
        <f t="array" ref="T38">IF($B38="","",IFERROR(IF(INDEX('01_UngVien_PhongVan'!$U:$U,MATCH($B38,'01_UngVien_PhongVan'!$B:$B,0))=0,"",INDEX('01_UngVien_PhongVan'!$U:$U,MATCH($B38,'01_UngVien_PhongVan'!$B:$B,0))),""))</f>
      </c>
      <c r="U38" s="73">
        <f t="array" ref="U38">IF($B38="","",IFERROR(IF(INDEX('01_UngVien_PhongVan'!$C:$C,MATCH($B38,'01_UngVien_PhongVan'!$B:$B,0))=0,"",INDEX('01_UngVien_PhongVan'!$C:$C,MATCH($B38,'01_UngVien_PhongVan'!$B:$B,0))),""))</f>
      </c>
      <c r="V38" s="73">
        <f t="array" ref="V38">IF($B38="","",IFERROR(IF(INDEX('02_DS_Nhan_Viec'!$D:$D,MATCH($B38,'02_DS_Nhan_Viec'!$B:$B,0))=0,"",INDEX('02_DS_Nhan_Viec'!$D:$D,MATCH($B38,'02_DS_Nhan_Viec'!$B:$B,0))),""))</f>
      </c>
      <c r="W38" s="73">
        <f t="array" ref="W38">IF($B38="","",IFERROR(IF(INDEX('02_DS_Nhan_Viec'!$E:$E,MATCH($B38,'02_DS_Nhan_Viec'!$B:$B,0))=0,"",INDEX('02_DS_Nhan_Viec'!$E:$E,MATCH($B38,'02_DS_Nhan_Viec'!$B:$B,0))),""))</f>
      </c>
      <c r="X38" s="73">
        <f t="array" ref="X38">IF($C38="","",IFERROR(IF(INDEX('05_Theo_Doi_Gio_Cong_7_Ngay'!$P:$P,MATCH($C38,'05_Theo_Doi_Gio_Cong_7_Ngay'!$B:$B,0))=0,"",INDEX('05_Theo_Doi_Gio_Cong_7_Ngay'!$P:$P,MATCH($C38,'05_Theo_Doi_Gio_Cong_7_Ngay'!$B:$B,0))),""))</f>
      </c>
      <c r="Y38" s="60">
        <f t="array" ref="Y38">IF($C38="","",IFERROR(IF(INDEX('05_Theo_Doi_Gio_Cong_7_Ngay'!$M:$M,MATCH($C38,'05_Theo_Doi_Gio_Cong_7_Ngay'!$B:$B,0))=0,"",INDEX('05_Theo_Doi_Gio_Cong_7_Ngay'!$M:$M,MATCH($C38,'05_Theo_Doi_Gio_Cong_7_Ngay'!$B:$B,0))),""))</f>
      </c>
      <c r="Z38" s="60">
        <f t="array" ref="Z38">IF($C38="","",IFERROR(IF(INDEX('05_Theo_Doi_Gio_Cong_7_Ngay'!$Q:$Q,MATCH($C38,'05_Theo_Doi_Gio_Cong_7_Ngay'!$B:$B,0))=0,"",INDEX('05_Theo_Doi_Gio_Cong_7_Ngay'!$Q:$Q,MATCH($C38,'05_Theo_Doi_Gio_Cong_7_Ngay'!$B:$B,0))),""))</f>
      </c>
      <c r="AA38" s="60">
        <f t="array" ref="AA38">IF($B38="","",IFERROR(IF(INDEX('02_DS_Nhan_Viec'!$H:$H,MATCH($B38,'02_DS_Nhan_Viec'!$B:$B,0))=0,"",INDEX('02_DS_Nhan_Viec'!$H:$H,MATCH($B38,'02_DS_Nhan_Viec'!$B:$B,0))),""))</f>
      </c>
      <c r="AB38" s="60">
        <f t="array" ref="AB38">IF($B38="","",IFERROR(IF(INDEX('02_DS_Nhan_Viec'!$I:$I,MATCH($B38,'02_DS_Nhan_Viec'!$B:$B,0))=0,"",INDEX('02_DS_Nhan_Viec'!$I:$I,MATCH($B38,'02_DS_Nhan_Viec'!$B:$B,0))),""))</f>
      </c>
      <c r="AC38" s="61">
        <f t="array" ref="AC38">IF($B38="","",IF($C38="","Đang theo dõi",IF(OR(IFERROR(INDEX('05_Theo_Doi_Gio_Cong_7_Ngay'!$R:$R,MATCH($C38,'05_Theo_Doi_Gio_Cong_7_Ngay'!$B:$B,0)),"")="",IFERROR(INDEX('05_Theo_Doi_Gio_Cong_7_Ngay'!$R:$R,MATCH($C38,'05_Theo_Doi_Gio_Cong_7_Ngay'!$B:$B,0)),0)=0),"Đang theo dõi",IFERROR(INDEX('06_DS_Chinh_Thuc'!$K:$K,MATCH(IFERROR(INDEX('05_Theo_Doi_Gio_Cong_7_Ngay'!$R:$R,MATCH($C38,'05_Theo_Doi_Gio_Cong_7_Ngay'!$B:$B,0)),0),'06_DS_Chinh_Thuc'!$B:$B,0)),"Đang theo dõi"))))</f>
      </c>
    </row>
    <row r="39" ht="14.25" customHeight="1" spans="1:29" x14ac:dyDescent="0.25">
      <c r="A39" s="52">
        <f t="shared" si="0"/>
      </c>
      <c r="B39" s="52">
        <f t="array" ref="B39">IFERROR(INDEX('02_DS_Nhan_Viec'!$B:$B,MATCH(38,'02_DS_Nhan_Viec'!$M:$M,0)),"")</f>
      </c>
      <c r="C39" s="52">
        <f t="array" ref="C39">IF($B39="","",IFERROR(IF(INDEX('02_DS_Nhan_Viec'!$J:$J,MATCH($B39,'02_DS_Nhan_Viec'!$B:$B,0))=0,"",INDEX('02_DS_Nhan_Viec'!$J:$J,MATCH($B39,'02_DS_Nhan_Viec'!$B:$B,0))),""))</f>
      </c>
      <c r="D39" s="52">
        <f t="array" ref="D39">IF($C39="","",IFERROR(IF(INDEX('05_Theo_Doi_Gio_Cong_7_Ngay'!$R:$R,MATCH($C39,'05_Theo_Doi_Gio_Cong_7_Ngay'!$B:$B,0))=0,"",INDEX('05_Theo_Doi_Gio_Cong_7_Ngay'!$R:$R,MATCH($C39,'05_Theo_Doi_Gio_Cong_7_Ngay'!$B:$B,0))),""))</f>
      </c>
      <c r="E39" s="60">
        <f t="array" ref="E39">IF($B39="","",IFERROR(IF(INDEX('01_UngVien_PhongVan'!$D:$D,MATCH($B39,'01_UngVien_PhongVan'!$B:$B,0))=0,"",INDEX('01_UngVien_PhongVan'!$D:$D,MATCH($B39,'01_UngVien_PhongVan'!$B:$B,0))),""))</f>
      </c>
      <c r="F39" s="52">
        <f t="array" ref="F39">IF($B39="","",IFERROR(IF(INDEX('01_UngVien_PhongVan'!$F:$F,MATCH($B39,'01_UngVien_PhongVan'!$B:$B,0))=0,"",INDEX('01_UngVien_PhongVan'!$F:$F,MATCH($B39,'01_UngVien_PhongVan'!$B:$B,0))),""))</f>
      </c>
      <c r="G39" s="72">
        <f t="array" ref="G39">IF($B39="","",IFERROR(IF(INDEX('01_UngVien_PhongVan'!$G:$G,MATCH($B39,'01_UngVien_PhongVan'!$B:$B,0))=0,"",INDEX('01_UngVien_PhongVan'!$G:$G,MATCH($B39,'01_UngVien_PhongVan'!$B:$B,0))),""))</f>
      </c>
      <c r="H39" s="52">
        <f t="array" ref="H39">IF($B39="","",IFERROR(IF(INDEX('01_UngVien_PhongVan'!$H:$H,MATCH($B39,'01_UngVien_PhongVan'!$B:$B,0))=0,"",INDEX('01_UngVien_PhongVan'!$H:$H,MATCH($B39,'01_UngVien_PhongVan'!$B:$B,0))),""))</f>
      </c>
      <c r="I39" s="60">
        <f t="array" ref="I39">IF($B39="","",IFERROR(IF(INDEX('01_UngVien_PhongVan'!$I:$I,MATCH($B39,'01_UngVien_PhongVan'!$B:$B,0))=0,"",INDEX('01_UngVien_PhongVan'!$I:$I,MATCH($B39,'01_UngVien_PhongVan'!$B:$B,0))),""))</f>
      </c>
      <c r="J39" s="60">
        <f t="array" ref="J39">IF($B39="","",IFERROR(IF(INDEX('01_UngVien_PhongVan'!$J:$J,MATCH($B39,'01_UngVien_PhongVan'!$B:$B,0))=0,"",INDEX('01_UngVien_PhongVan'!$J:$J,MATCH($B39,'01_UngVien_PhongVan'!$B:$B,0))),""))</f>
      </c>
      <c r="K39" s="73">
        <f t="array" ref="K39">IF($B39="","",IFERROR(IF(INDEX('01_UngVien_PhongVan'!$K:$K,MATCH($B39,'01_UngVien_PhongVan'!$B:$B,0))=0,"",INDEX('01_UngVien_PhongVan'!$K:$K,MATCH($B39,'01_UngVien_PhongVan'!$B:$B,0))),""))</f>
      </c>
      <c r="L39" s="60">
        <f t="array" ref="L39">IF($B39="","",IFERROR(IF(INDEX('01_UngVien_PhongVan'!$L:$L,MATCH($B39,'01_UngVien_PhongVan'!$B:$B,0))=0,"",INDEX('01_UngVien_PhongVan'!$L:$L,MATCH($B39,'01_UngVien_PhongVan'!$B:$B,0))),""))</f>
      </c>
      <c r="M39" s="60">
        <f t="array" ref="M39">IF($B39="","",IFERROR(IF(INDEX('01_UngVien_PhongVan'!$E:$E,MATCH($B39,'01_UngVien_PhongVan'!$B:$B,0))=0,"",INDEX('01_UngVien_PhongVan'!$E:$E,MATCH($B39,'01_UngVien_PhongVan'!$B:$B,0))),""))</f>
      </c>
      <c r="N39" s="60">
        <f t="array" ref="N39">IF($B39="","",IFERROR(IF(INDEX('01_UngVien_PhongVan'!$M:$M,MATCH($B39,'01_UngVien_PhongVan'!$B:$B,0))=0,"",INDEX('01_UngVien_PhongVan'!$M:$M,MATCH($B39,'01_UngVien_PhongVan'!$B:$B,0))),""))</f>
      </c>
      <c r="O39" s="60">
        <f t="array" ref="O39">IF($B39="","",IFERROR(IF(INDEX('01_UngVien_PhongVan'!$N:$N,MATCH($B39,'01_UngVien_PhongVan'!$B:$B,0))=0,"",INDEX('01_UngVien_PhongVan'!$N:$N,MATCH($B39,'01_UngVien_PhongVan'!$B:$B,0))),""))</f>
      </c>
      <c r="P39" s="60">
        <f t="array" ref="P39">IF($B39="","",IFERROR(IF(INDEX('01_UngVien_PhongVan'!$O:$O,MATCH($B39,'01_UngVien_PhongVan'!$B:$B,0))=0,"",INDEX('01_UngVien_PhongVan'!$O:$O,MATCH($B39,'01_UngVien_PhongVan'!$B:$B,0))),""))</f>
      </c>
      <c r="Q39" s="60">
        <f t="array" ref="Q39">IF($B39="","",IFERROR(IF(INDEX('01_UngVien_PhongVan'!$P:$P,MATCH($B39,'01_UngVien_PhongVan'!$B:$B,0))=0,"",INDEX('01_UngVien_PhongVan'!$P:$P,MATCH($B39,'01_UngVien_PhongVan'!$B:$B,0))),""))</f>
      </c>
      <c r="R39" s="60">
        <f t="array" ref="R39">IF($B39="","",IFERROR(IF(INDEX('01_UngVien_PhongVan'!$Q:$Q,MATCH($B39,'01_UngVien_PhongVan'!$B:$B,0))=0,"",INDEX('01_UngVien_PhongVan'!$Q:$Q,MATCH($B39,'01_UngVien_PhongVan'!$B:$B,0))),""))</f>
      </c>
      <c r="S39" s="60">
        <f t="array" ref="S39">IF($B39="","",IFERROR(IF(INDEX('01_UngVien_PhongVan'!$R:$R,MATCH($B39,'01_UngVien_PhongVan'!$B:$B,0))=0,"",INDEX('01_UngVien_PhongVan'!$R:$R,MATCH($B39,'01_UngVien_PhongVan'!$B:$B,0))),""))</f>
      </c>
      <c r="T39" s="60">
        <f t="array" ref="T39">IF($B39="","",IFERROR(IF(INDEX('01_UngVien_PhongVan'!$U:$U,MATCH($B39,'01_UngVien_PhongVan'!$B:$B,0))=0,"",INDEX('01_UngVien_PhongVan'!$U:$U,MATCH($B39,'01_UngVien_PhongVan'!$B:$B,0))),""))</f>
      </c>
      <c r="U39" s="73">
        <f t="array" ref="U39">IF($B39="","",IFERROR(IF(INDEX('01_UngVien_PhongVan'!$C:$C,MATCH($B39,'01_UngVien_PhongVan'!$B:$B,0))=0,"",INDEX('01_UngVien_PhongVan'!$C:$C,MATCH($B39,'01_UngVien_PhongVan'!$B:$B,0))),""))</f>
      </c>
      <c r="V39" s="73">
        <f t="array" ref="V39">IF($B39="","",IFERROR(IF(INDEX('02_DS_Nhan_Viec'!$D:$D,MATCH($B39,'02_DS_Nhan_Viec'!$B:$B,0))=0,"",INDEX('02_DS_Nhan_Viec'!$D:$D,MATCH($B39,'02_DS_Nhan_Viec'!$B:$B,0))),""))</f>
      </c>
      <c r="W39" s="73">
        <f t="array" ref="W39">IF($B39="","",IFERROR(IF(INDEX('02_DS_Nhan_Viec'!$E:$E,MATCH($B39,'02_DS_Nhan_Viec'!$B:$B,0))=0,"",INDEX('02_DS_Nhan_Viec'!$E:$E,MATCH($B39,'02_DS_Nhan_Viec'!$B:$B,0))),""))</f>
      </c>
      <c r="X39" s="73">
        <f t="array" ref="X39">IF($C39="","",IFERROR(IF(INDEX('05_Theo_Doi_Gio_Cong_7_Ngay'!$P:$P,MATCH($C39,'05_Theo_Doi_Gio_Cong_7_Ngay'!$B:$B,0))=0,"",INDEX('05_Theo_Doi_Gio_Cong_7_Ngay'!$P:$P,MATCH($C39,'05_Theo_Doi_Gio_Cong_7_Ngay'!$B:$B,0))),""))</f>
      </c>
      <c r="Y39" s="60">
        <f t="array" ref="Y39">IF($C39="","",IFERROR(IF(INDEX('05_Theo_Doi_Gio_Cong_7_Ngay'!$M:$M,MATCH($C39,'05_Theo_Doi_Gio_Cong_7_Ngay'!$B:$B,0))=0,"",INDEX('05_Theo_Doi_Gio_Cong_7_Ngay'!$M:$M,MATCH($C39,'05_Theo_Doi_Gio_Cong_7_Ngay'!$B:$B,0))),""))</f>
      </c>
      <c r="Z39" s="60">
        <f t="array" ref="Z39">IF($C39="","",IFERROR(IF(INDEX('05_Theo_Doi_Gio_Cong_7_Ngay'!$Q:$Q,MATCH($C39,'05_Theo_Doi_Gio_Cong_7_Ngay'!$B:$B,0))=0,"",INDEX('05_Theo_Doi_Gio_Cong_7_Ngay'!$Q:$Q,MATCH($C39,'05_Theo_Doi_Gio_Cong_7_Ngay'!$B:$B,0))),""))</f>
      </c>
      <c r="AA39" s="60">
        <f t="array" ref="AA39">IF($B39="","",IFERROR(IF(INDEX('02_DS_Nhan_Viec'!$H:$H,MATCH($B39,'02_DS_Nhan_Viec'!$B:$B,0))=0,"",INDEX('02_DS_Nhan_Viec'!$H:$H,MATCH($B39,'02_DS_Nhan_Viec'!$B:$B,0))),""))</f>
      </c>
      <c r="AB39" s="60">
        <f t="array" ref="AB39">IF($B39="","",IFERROR(IF(INDEX('02_DS_Nhan_Viec'!$I:$I,MATCH($B39,'02_DS_Nhan_Viec'!$B:$B,0))=0,"",INDEX('02_DS_Nhan_Viec'!$I:$I,MATCH($B39,'02_DS_Nhan_Viec'!$B:$B,0))),""))</f>
      </c>
      <c r="AC39" s="61">
        <f t="array" ref="AC39">IF($B39="","",IF($C39="","Đang theo dõi",IF(OR(IFERROR(INDEX('05_Theo_Doi_Gio_Cong_7_Ngay'!$R:$R,MATCH($C39,'05_Theo_Doi_Gio_Cong_7_Ngay'!$B:$B,0)),"")="",IFERROR(INDEX('05_Theo_Doi_Gio_Cong_7_Ngay'!$R:$R,MATCH($C39,'05_Theo_Doi_Gio_Cong_7_Ngay'!$B:$B,0)),0)=0),"Đang theo dõi",IFERROR(INDEX('06_DS_Chinh_Thuc'!$K:$K,MATCH(IFERROR(INDEX('05_Theo_Doi_Gio_Cong_7_Ngay'!$R:$R,MATCH($C39,'05_Theo_Doi_Gio_Cong_7_Ngay'!$B:$B,0)),0),'06_DS_Chinh_Thuc'!$B:$B,0)),"Đang theo dõi"))))</f>
      </c>
    </row>
    <row r="40" ht="14.25" customHeight="1" spans="1:29" x14ac:dyDescent="0.25">
      <c r="A40" s="52">
        <f t="shared" si="0"/>
      </c>
      <c r="B40" s="52">
        <f t="array" ref="B40">IFERROR(INDEX('02_DS_Nhan_Viec'!$B:$B,MATCH(39,'02_DS_Nhan_Viec'!$M:$M,0)),"")</f>
      </c>
      <c r="C40" s="52">
        <f t="array" ref="C40">IF($B40="","",IFERROR(IF(INDEX('02_DS_Nhan_Viec'!$J:$J,MATCH($B40,'02_DS_Nhan_Viec'!$B:$B,0))=0,"",INDEX('02_DS_Nhan_Viec'!$J:$J,MATCH($B40,'02_DS_Nhan_Viec'!$B:$B,0))),""))</f>
      </c>
      <c r="D40" s="52">
        <f t="array" ref="D40">IF($C40="","",IFERROR(IF(INDEX('05_Theo_Doi_Gio_Cong_7_Ngay'!$R:$R,MATCH($C40,'05_Theo_Doi_Gio_Cong_7_Ngay'!$B:$B,0))=0,"",INDEX('05_Theo_Doi_Gio_Cong_7_Ngay'!$R:$R,MATCH($C40,'05_Theo_Doi_Gio_Cong_7_Ngay'!$B:$B,0))),""))</f>
      </c>
      <c r="E40" s="60">
        <f t="array" ref="E40">IF($B40="","",IFERROR(IF(INDEX('01_UngVien_PhongVan'!$D:$D,MATCH($B40,'01_UngVien_PhongVan'!$B:$B,0))=0,"",INDEX('01_UngVien_PhongVan'!$D:$D,MATCH($B40,'01_UngVien_PhongVan'!$B:$B,0))),""))</f>
      </c>
      <c r="F40" s="52">
        <f t="array" ref="F40">IF($B40="","",IFERROR(IF(INDEX('01_UngVien_PhongVan'!$F:$F,MATCH($B40,'01_UngVien_PhongVan'!$B:$B,0))=0,"",INDEX('01_UngVien_PhongVan'!$F:$F,MATCH($B40,'01_UngVien_PhongVan'!$B:$B,0))),""))</f>
      </c>
      <c r="G40" s="72">
        <f t="array" ref="G40">IF($B40="","",IFERROR(IF(INDEX('01_UngVien_PhongVan'!$G:$G,MATCH($B40,'01_UngVien_PhongVan'!$B:$B,0))=0,"",INDEX('01_UngVien_PhongVan'!$G:$G,MATCH($B40,'01_UngVien_PhongVan'!$B:$B,0))),""))</f>
      </c>
      <c r="H40" s="52">
        <f t="array" ref="H40">IF($B40="","",IFERROR(IF(INDEX('01_UngVien_PhongVan'!$H:$H,MATCH($B40,'01_UngVien_PhongVan'!$B:$B,0))=0,"",INDEX('01_UngVien_PhongVan'!$H:$H,MATCH($B40,'01_UngVien_PhongVan'!$B:$B,0))),""))</f>
      </c>
      <c r="I40" s="60">
        <f t="array" ref="I40">IF($B40="","",IFERROR(IF(INDEX('01_UngVien_PhongVan'!$I:$I,MATCH($B40,'01_UngVien_PhongVan'!$B:$B,0))=0,"",INDEX('01_UngVien_PhongVan'!$I:$I,MATCH($B40,'01_UngVien_PhongVan'!$B:$B,0))),""))</f>
      </c>
      <c r="J40" s="60">
        <f t="array" ref="J40">IF($B40="","",IFERROR(IF(INDEX('01_UngVien_PhongVan'!$J:$J,MATCH($B40,'01_UngVien_PhongVan'!$B:$B,0))=0,"",INDEX('01_UngVien_PhongVan'!$J:$J,MATCH($B40,'01_UngVien_PhongVan'!$B:$B,0))),""))</f>
      </c>
      <c r="K40" s="73">
        <f t="array" ref="K40">IF($B40="","",IFERROR(IF(INDEX('01_UngVien_PhongVan'!$K:$K,MATCH($B40,'01_UngVien_PhongVan'!$B:$B,0))=0,"",INDEX('01_UngVien_PhongVan'!$K:$K,MATCH($B40,'01_UngVien_PhongVan'!$B:$B,0))),""))</f>
      </c>
      <c r="L40" s="60">
        <f t="array" ref="L40">IF($B40="","",IFERROR(IF(INDEX('01_UngVien_PhongVan'!$L:$L,MATCH($B40,'01_UngVien_PhongVan'!$B:$B,0))=0,"",INDEX('01_UngVien_PhongVan'!$L:$L,MATCH($B40,'01_UngVien_PhongVan'!$B:$B,0))),""))</f>
      </c>
      <c r="M40" s="60">
        <f t="array" ref="M40">IF($B40="","",IFERROR(IF(INDEX('01_UngVien_PhongVan'!$E:$E,MATCH($B40,'01_UngVien_PhongVan'!$B:$B,0))=0,"",INDEX('01_UngVien_PhongVan'!$E:$E,MATCH($B40,'01_UngVien_PhongVan'!$B:$B,0))),""))</f>
      </c>
      <c r="N40" s="60">
        <f t="array" ref="N40">IF($B40="","",IFERROR(IF(INDEX('01_UngVien_PhongVan'!$M:$M,MATCH($B40,'01_UngVien_PhongVan'!$B:$B,0))=0,"",INDEX('01_UngVien_PhongVan'!$M:$M,MATCH($B40,'01_UngVien_PhongVan'!$B:$B,0))),""))</f>
      </c>
      <c r="O40" s="60">
        <f t="array" ref="O40">IF($B40="","",IFERROR(IF(INDEX('01_UngVien_PhongVan'!$N:$N,MATCH($B40,'01_UngVien_PhongVan'!$B:$B,0))=0,"",INDEX('01_UngVien_PhongVan'!$N:$N,MATCH($B40,'01_UngVien_PhongVan'!$B:$B,0))),""))</f>
      </c>
      <c r="P40" s="60">
        <f t="array" ref="P40">IF($B40="","",IFERROR(IF(INDEX('01_UngVien_PhongVan'!$O:$O,MATCH($B40,'01_UngVien_PhongVan'!$B:$B,0))=0,"",INDEX('01_UngVien_PhongVan'!$O:$O,MATCH($B40,'01_UngVien_PhongVan'!$B:$B,0))),""))</f>
      </c>
      <c r="Q40" s="60">
        <f t="array" ref="Q40">IF($B40="","",IFERROR(IF(INDEX('01_UngVien_PhongVan'!$P:$P,MATCH($B40,'01_UngVien_PhongVan'!$B:$B,0))=0,"",INDEX('01_UngVien_PhongVan'!$P:$P,MATCH($B40,'01_UngVien_PhongVan'!$B:$B,0))),""))</f>
      </c>
      <c r="R40" s="60">
        <f t="array" ref="R40">IF($B40="","",IFERROR(IF(INDEX('01_UngVien_PhongVan'!$Q:$Q,MATCH($B40,'01_UngVien_PhongVan'!$B:$B,0))=0,"",INDEX('01_UngVien_PhongVan'!$Q:$Q,MATCH($B40,'01_UngVien_PhongVan'!$B:$B,0))),""))</f>
      </c>
      <c r="S40" s="60">
        <f t="array" ref="S40">IF($B40="","",IFERROR(IF(INDEX('01_UngVien_PhongVan'!$R:$R,MATCH($B40,'01_UngVien_PhongVan'!$B:$B,0))=0,"",INDEX('01_UngVien_PhongVan'!$R:$R,MATCH($B40,'01_UngVien_PhongVan'!$B:$B,0))),""))</f>
      </c>
      <c r="T40" s="60">
        <f t="array" ref="T40">IF($B40="","",IFERROR(IF(INDEX('01_UngVien_PhongVan'!$U:$U,MATCH($B40,'01_UngVien_PhongVan'!$B:$B,0))=0,"",INDEX('01_UngVien_PhongVan'!$U:$U,MATCH($B40,'01_UngVien_PhongVan'!$B:$B,0))),""))</f>
      </c>
      <c r="U40" s="73">
        <f t="array" ref="U40">IF($B40="","",IFERROR(IF(INDEX('01_UngVien_PhongVan'!$C:$C,MATCH($B40,'01_UngVien_PhongVan'!$B:$B,0))=0,"",INDEX('01_UngVien_PhongVan'!$C:$C,MATCH($B40,'01_UngVien_PhongVan'!$B:$B,0))),""))</f>
      </c>
      <c r="V40" s="73">
        <f t="array" ref="V40">IF($B40="","",IFERROR(IF(INDEX('02_DS_Nhan_Viec'!$D:$D,MATCH($B40,'02_DS_Nhan_Viec'!$B:$B,0))=0,"",INDEX('02_DS_Nhan_Viec'!$D:$D,MATCH($B40,'02_DS_Nhan_Viec'!$B:$B,0))),""))</f>
      </c>
      <c r="W40" s="73">
        <f t="array" ref="W40">IF($B40="","",IFERROR(IF(INDEX('02_DS_Nhan_Viec'!$E:$E,MATCH($B40,'02_DS_Nhan_Viec'!$B:$B,0))=0,"",INDEX('02_DS_Nhan_Viec'!$E:$E,MATCH($B40,'02_DS_Nhan_Viec'!$B:$B,0))),""))</f>
      </c>
      <c r="X40" s="73">
        <f t="array" ref="X40">IF($C40="","",IFERROR(IF(INDEX('05_Theo_Doi_Gio_Cong_7_Ngay'!$P:$P,MATCH($C40,'05_Theo_Doi_Gio_Cong_7_Ngay'!$B:$B,0))=0,"",INDEX('05_Theo_Doi_Gio_Cong_7_Ngay'!$P:$P,MATCH($C40,'05_Theo_Doi_Gio_Cong_7_Ngay'!$B:$B,0))),""))</f>
      </c>
      <c r="Y40" s="60">
        <f t="array" ref="Y40">IF($C40="","",IFERROR(IF(INDEX('05_Theo_Doi_Gio_Cong_7_Ngay'!$M:$M,MATCH($C40,'05_Theo_Doi_Gio_Cong_7_Ngay'!$B:$B,0))=0,"",INDEX('05_Theo_Doi_Gio_Cong_7_Ngay'!$M:$M,MATCH($C40,'05_Theo_Doi_Gio_Cong_7_Ngay'!$B:$B,0))),""))</f>
      </c>
      <c r="Z40" s="60">
        <f t="array" ref="Z40">IF($C40="","",IFERROR(IF(INDEX('05_Theo_Doi_Gio_Cong_7_Ngay'!$Q:$Q,MATCH($C40,'05_Theo_Doi_Gio_Cong_7_Ngay'!$B:$B,0))=0,"",INDEX('05_Theo_Doi_Gio_Cong_7_Ngay'!$Q:$Q,MATCH($C40,'05_Theo_Doi_Gio_Cong_7_Ngay'!$B:$B,0))),""))</f>
      </c>
      <c r="AA40" s="60">
        <f t="array" ref="AA40">IF($B40="","",IFERROR(IF(INDEX('02_DS_Nhan_Viec'!$H:$H,MATCH($B40,'02_DS_Nhan_Viec'!$B:$B,0))=0,"",INDEX('02_DS_Nhan_Viec'!$H:$H,MATCH($B40,'02_DS_Nhan_Viec'!$B:$B,0))),""))</f>
      </c>
      <c r="AB40" s="60">
        <f t="array" ref="AB40">IF($B40="","",IFERROR(IF(INDEX('02_DS_Nhan_Viec'!$I:$I,MATCH($B40,'02_DS_Nhan_Viec'!$B:$B,0))=0,"",INDEX('02_DS_Nhan_Viec'!$I:$I,MATCH($B40,'02_DS_Nhan_Viec'!$B:$B,0))),""))</f>
      </c>
      <c r="AC40" s="61">
        <f t="array" ref="AC40">IF($B40="","",IF($C40="","Đang theo dõi",IF(OR(IFERROR(INDEX('05_Theo_Doi_Gio_Cong_7_Ngay'!$R:$R,MATCH($C40,'05_Theo_Doi_Gio_Cong_7_Ngay'!$B:$B,0)),"")="",IFERROR(INDEX('05_Theo_Doi_Gio_Cong_7_Ngay'!$R:$R,MATCH($C40,'05_Theo_Doi_Gio_Cong_7_Ngay'!$B:$B,0)),0)=0),"Đang theo dõi",IFERROR(INDEX('06_DS_Chinh_Thuc'!$K:$K,MATCH(IFERROR(INDEX('05_Theo_Doi_Gio_Cong_7_Ngay'!$R:$R,MATCH($C40,'05_Theo_Doi_Gio_Cong_7_Ngay'!$B:$B,0)),0),'06_DS_Chinh_Thuc'!$B:$B,0)),"Đang theo dõi"))))</f>
      </c>
    </row>
    <row r="41" ht="14.25" customHeight="1" spans="1:29" x14ac:dyDescent="0.25">
      <c r="A41" s="52">
        <f t="shared" si="0"/>
      </c>
      <c r="B41" s="52">
        <f t="array" ref="B41">IFERROR(INDEX('02_DS_Nhan_Viec'!$B:$B,MATCH(40,'02_DS_Nhan_Viec'!$M:$M,0)),"")</f>
      </c>
      <c r="C41" s="52">
        <f t="array" ref="C41">IF($B41="","",IFERROR(IF(INDEX('02_DS_Nhan_Viec'!$J:$J,MATCH($B41,'02_DS_Nhan_Viec'!$B:$B,0))=0,"",INDEX('02_DS_Nhan_Viec'!$J:$J,MATCH($B41,'02_DS_Nhan_Viec'!$B:$B,0))),""))</f>
      </c>
      <c r="D41" s="52">
        <f t="array" ref="D41">IF($C41="","",IFERROR(IF(INDEX('05_Theo_Doi_Gio_Cong_7_Ngay'!$R:$R,MATCH($C41,'05_Theo_Doi_Gio_Cong_7_Ngay'!$B:$B,0))=0,"",INDEX('05_Theo_Doi_Gio_Cong_7_Ngay'!$R:$R,MATCH($C41,'05_Theo_Doi_Gio_Cong_7_Ngay'!$B:$B,0))),""))</f>
      </c>
      <c r="E41" s="60">
        <f t="array" ref="E41">IF($B41="","",IFERROR(IF(INDEX('01_UngVien_PhongVan'!$D:$D,MATCH($B41,'01_UngVien_PhongVan'!$B:$B,0))=0,"",INDEX('01_UngVien_PhongVan'!$D:$D,MATCH($B41,'01_UngVien_PhongVan'!$B:$B,0))),""))</f>
      </c>
      <c r="F41" s="52">
        <f t="array" ref="F41">IF($B41="","",IFERROR(IF(INDEX('01_UngVien_PhongVan'!$F:$F,MATCH($B41,'01_UngVien_PhongVan'!$B:$B,0))=0,"",INDEX('01_UngVien_PhongVan'!$F:$F,MATCH($B41,'01_UngVien_PhongVan'!$B:$B,0))),""))</f>
      </c>
      <c r="G41" s="72">
        <f t="array" ref="G41">IF($B41="","",IFERROR(IF(INDEX('01_UngVien_PhongVan'!$G:$G,MATCH($B41,'01_UngVien_PhongVan'!$B:$B,0))=0,"",INDEX('01_UngVien_PhongVan'!$G:$G,MATCH($B41,'01_UngVien_PhongVan'!$B:$B,0))),""))</f>
      </c>
      <c r="H41" s="52">
        <f t="array" ref="H41">IF($B41="","",IFERROR(IF(INDEX('01_UngVien_PhongVan'!$H:$H,MATCH($B41,'01_UngVien_PhongVan'!$B:$B,0))=0,"",INDEX('01_UngVien_PhongVan'!$H:$H,MATCH($B41,'01_UngVien_PhongVan'!$B:$B,0))),""))</f>
      </c>
      <c r="I41" s="60">
        <f t="array" ref="I41">IF($B41="","",IFERROR(IF(INDEX('01_UngVien_PhongVan'!$I:$I,MATCH($B41,'01_UngVien_PhongVan'!$B:$B,0))=0,"",INDEX('01_UngVien_PhongVan'!$I:$I,MATCH($B41,'01_UngVien_PhongVan'!$B:$B,0))),""))</f>
      </c>
      <c r="J41" s="60">
        <f t="array" ref="J41">IF($B41="","",IFERROR(IF(INDEX('01_UngVien_PhongVan'!$J:$J,MATCH($B41,'01_UngVien_PhongVan'!$B:$B,0))=0,"",INDEX('01_UngVien_PhongVan'!$J:$J,MATCH($B41,'01_UngVien_PhongVan'!$B:$B,0))),""))</f>
      </c>
      <c r="K41" s="73">
        <f t="array" ref="K41">IF($B41="","",IFERROR(IF(INDEX('01_UngVien_PhongVan'!$K:$K,MATCH($B41,'01_UngVien_PhongVan'!$B:$B,0))=0,"",INDEX('01_UngVien_PhongVan'!$K:$K,MATCH($B41,'01_UngVien_PhongVan'!$B:$B,0))),""))</f>
      </c>
      <c r="L41" s="60">
        <f t="array" ref="L41">IF($B41="","",IFERROR(IF(INDEX('01_UngVien_PhongVan'!$L:$L,MATCH($B41,'01_UngVien_PhongVan'!$B:$B,0))=0,"",INDEX('01_UngVien_PhongVan'!$L:$L,MATCH($B41,'01_UngVien_PhongVan'!$B:$B,0))),""))</f>
      </c>
      <c r="M41" s="60">
        <f t="array" ref="M41">IF($B41="","",IFERROR(IF(INDEX('01_UngVien_PhongVan'!$E:$E,MATCH($B41,'01_UngVien_PhongVan'!$B:$B,0))=0,"",INDEX('01_UngVien_PhongVan'!$E:$E,MATCH($B41,'01_UngVien_PhongVan'!$B:$B,0))),""))</f>
      </c>
      <c r="N41" s="60">
        <f t="array" ref="N41">IF($B41="","",IFERROR(IF(INDEX('01_UngVien_PhongVan'!$M:$M,MATCH($B41,'01_UngVien_PhongVan'!$B:$B,0))=0,"",INDEX('01_UngVien_PhongVan'!$M:$M,MATCH($B41,'01_UngVien_PhongVan'!$B:$B,0))),""))</f>
      </c>
      <c r="O41" s="60">
        <f t="array" ref="O41">IF($B41="","",IFERROR(IF(INDEX('01_UngVien_PhongVan'!$N:$N,MATCH($B41,'01_UngVien_PhongVan'!$B:$B,0))=0,"",INDEX('01_UngVien_PhongVan'!$N:$N,MATCH($B41,'01_UngVien_PhongVan'!$B:$B,0))),""))</f>
      </c>
      <c r="P41" s="60">
        <f t="array" ref="P41">IF($B41="","",IFERROR(IF(INDEX('01_UngVien_PhongVan'!$O:$O,MATCH($B41,'01_UngVien_PhongVan'!$B:$B,0))=0,"",INDEX('01_UngVien_PhongVan'!$O:$O,MATCH($B41,'01_UngVien_PhongVan'!$B:$B,0))),""))</f>
      </c>
      <c r="Q41" s="60">
        <f t="array" ref="Q41">IF($B41="","",IFERROR(IF(INDEX('01_UngVien_PhongVan'!$P:$P,MATCH($B41,'01_UngVien_PhongVan'!$B:$B,0))=0,"",INDEX('01_UngVien_PhongVan'!$P:$P,MATCH($B41,'01_UngVien_PhongVan'!$B:$B,0))),""))</f>
      </c>
      <c r="R41" s="60">
        <f t="array" ref="R41">IF($B41="","",IFERROR(IF(INDEX('01_UngVien_PhongVan'!$Q:$Q,MATCH($B41,'01_UngVien_PhongVan'!$B:$B,0))=0,"",INDEX('01_UngVien_PhongVan'!$Q:$Q,MATCH($B41,'01_UngVien_PhongVan'!$B:$B,0))),""))</f>
      </c>
      <c r="S41" s="60">
        <f t="array" ref="S41">IF($B41="","",IFERROR(IF(INDEX('01_UngVien_PhongVan'!$R:$R,MATCH($B41,'01_UngVien_PhongVan'!$B:$B,0))=0,"",INDEX('01_UngVien_PhongVan'!$R:$R,MATCH($B41,'01_UngVien_PhongVan'!$B:$B,0))),""))</f>
      </c>
      <c r="T41" s="60">
        <f t="array" ref="T41">IF($B41="","",IFERROR(IF(INDEX('01_UngVien_PhongVan'!$U:$U,MATCH($B41,'01_UngVien_PhongVan'!$B:$B,0))=0,"",INDEX('01_UngVien_PhongVan'!$U:$U,MATCH($B41,'01_UngVien_PhongVan'!$B:$B,0))),""))</f>
      </c>
      <c r="U41" s="73">
        <f t="array" ref="U41">IF($B41="","",IFERROR(IF(INDEX('01_UngVien_PhongVan'!$C:$C,MATCH($B41,'01_UngVien_PhongVan'!$B:$B,0))=0,"",INDEX('01_UngVien_PhongVan'!$C:$C,MATCH($B41,'01_UngVien_PhongVan'!$B:$B,0))),""))</f>
      </c>
      <c r="V41" s="73">
        <f t="array" ref="V41">IF($B41="","",IFERROR(IF(INDEX('02_DS_Nhan_Viec'!$D:$D,MATCH($B41,'02_DS_Nhan_Viec'!$B:$B,0))=0,"",INDEX('02_DS_Nhan_Viec'!$D:$D,MATCH($B41,'02_DS_Nhan_Viec'!$B:$B,0))),""))</f>
      </c>
      <c r="W41" s="73">
        <f t="array" ref="W41">IF($B41="","",IFERROR(IF(INDEX('02_DS_Nhan_Viec'!$E:$E,MATCH($B41,'02_DS_Nhan_Viec'!$B:$B,0))=0,"",INDEX('02_DS_Nhan_Viec'!$E:$E,MATCH($B41,'02_DS_Nhan_Viec'!$B:$B,0))),""))</f>
      </c>
      <c r="X41" s="73">
        <f t="array" ref="X41">IF($C41="","",IFERROR(IF(INDEX('05_Theo_Doi_Gio_Cong_7_Ngay'!$P:$P,MATCH($C41,'05_Theo_Doi_Gio_Cong_7_Ngay'!$B:$B,0))=0,"",INDEX('05_Theo_Doi_Gio_Cong_7_Ngay'!$P:$P,MATCH($C41,'05_Theo_Doi_Gio_Cong_7_Ngay'!$B:$B,0))),""))</f>
      </c>
      <c r="Y41" s="60">
        <f t="array" ref="Y41">IF($C41="","",IFERROR(IF(INDEX('05_Theo_Doi_Gio_Cong_7_Ngay'!$M:$M,MATCH($C41,'05_Theo_Doi_Gio_Cong_7_Ngay'!$B:$B,0))=0,"",INDEX('05_Theo_Doi_Gio_Cong_7_Ngay'!$M:$M,MATCH($C41,'05_Theo_Doi_Gio_Cong_7_Ngay'!$B:$B,0))),""))</f>
      </c>
      <c r="Z41" s="60">
        <f t="array" ref="Z41">IF($C41="","",IFERROR(IF(INDEX('05_Theo_Doi_Gio_Cong_7_Ngay'!$Q:$Q,MATCH($C41,'05_Theo_Doi_Gio_Cong_7_Ngay'!$B:$B,0))=0,"",INDEX('05_Theo_Doi_Gio_Cong_7_Ngay'!$Q:$Q,MATCH($C41,'05_Theo_Doi_Gio_Cong_7_Ngay'!$B:$B,0))),""))</f>
      </c>
      <c r="AA41" s="60">
        <f t="array" ref="AA41">IF($B41="","",IFERROR(IF(INDEX('02_DS_Nhan_Viec'!$H:$H,MATCH($B41,'02_DS_Nhan_Viec'!$B:$B,0))=0,"",INDEX('02_DS_Nhan_Viec'!$H:$H,MATCH($B41,'02_DS_Nhan_Viec'!$B:$B,0))),""))</f>
      </c>
      <c r="AB41" s="60">
        <f t="array" ref="AB41">IF($B41="","",IFERROR(IF(INDEX('02_DS_Nhan_Viec'!$I:$I,MATCH($B41,'02_DS_Nhan_Viec'!$B:$B,0))=0,"",INDEX('02_DS_Nhan_Viec'!$I:$I,MATCH($B41,'02_DS_Nhan_Viec'!$B:$B,0))),""))</f>
      </c>
      <c r="AC41" s="61">
        <f t="array" ref="AC41">IF($B41="","",IF($C41="","Đang theo dõi",IF(OR(IFERROR(INDEX('05_Theo_Doi_Gio_Cong_7_Ngay'!$R:$R,MATCH($C41,'05_Theo_Doi_Gio_Cong_7_Ngay'!$B:$B,0)),"")="",IFERROR(INDEX('05_Theo_Doi_Gio_Cong_7_Ngay'!$R:$R,MATCH($C41,'05_Theo_Doi_Gio_Cong_7_Ngay'!$B:$B,0)),0)=0),"Đang theo dõi",IFERROR(INDEX('06_DS_Chinh_Thuc'!$K:$K,MATCH(IFERROR(INDEX('05_Theo_Doi_Gio_Cong_7_Ngay'!$R:$R,MATCH($C41,'05_Theo_Doi_Gio_Cong_7_Ngay'!$B:$B,0)),0),'06_DS_Chinh_Thuc'!$B:$B,0)),"Đang theo dõi"))))</f>
      </c>
    </row>
    <row r="42" ht="14.25" customHeight="1" spans="1:29" x14ac:dyDescent="0.25">
      <c r="A42" s="52">
        <f t="shared" si="0"/>
      </c>
      <c r="B42" s="52">
        <f t="array" ref="B42">IFERROR(INDEX('02_DS_Nhan_Viec'!$B:$B,MATCH(41,'02_DS_Nhan_Viec'!$M:$M,0)),"")</f>
      </c>
      <c r="C42" s="52">
        <f t="array" ref="C42">IF($B42="","",IFERROR(IF(INDEX('02_DS_Nhan_Viec'!$J:$J,MATCH($B42,'02_DS_Nhan_Viec'!$B:$B,0))=0,"",INDEX('02_DS_Nhan_Viec'!$J:$J,MATCH($B42,'02_DS_Nhan_Viec'!$B:$B,0))),""))</f>
      </c>
      <c r="D42" s="52">
        <f t="array" ref="D42">IF($C42="","",IFERROR(IF(INDEX('05_Theo_Doi_Gio_Cong_7_Ngay'!$R:$R,MATCH($C42,'05_Theo_Doi_Gio_Cong_7_Ngay'!$B:$B,0))=0,"",INDEX('05_Theo_Doi_Gio_Cong_7_Ngay'!$R:$R,MATCH($C42,'05_Theo_Doi_Gio_Cong_7_Ngay'!$B:$B,0))),""))</f>
      </c>
      <c r="E42" s="60">
        <f t="array" ref="E42">IF($B42="","",IFERROR(IF(INDEX('01_UngVien_PhongVan'!$D:$D,MATCH($B42,'01_UngVien_PhongVan'!$B:$B,0))=0,"",INDEX('01_UngVien_PhongVan'!$D:$D,MATCH($B42,'01_UngVien_PhongVan'!$B:$B,0))),""))</f>
      </c>
      <c r="F42" s="52">
        <f t="array" ref="F42">IF($B42="","",IFERROR(IF(INDEX('01_UngVien_PhongVan'!$F:$F,MATCH($B42,'01_UngVien_PhongVan'!$B:$B,0))=0,"",INDEX('01_UngVien_PhongVan'!$F:$F,MATCH($B42,'01_UngVien_PhongVan'!$B:$B,0))),""))</f>
      </c>
      <c r="G42" s="72">
        <f t="array" ref="G42">IF($B42="","",IFERROR(IF(INDEX('01_UngVien_PhongVan'!$G:$G,MATCH($B42,'01_UngVien_PhongVan'!$B:$B,0))=0,"",INDEX('01_UngVien_PhongVan'!$G:$G,MATCH($B42,'01_UngVien_PhongVan'!$B:$B,0))),""))</f>
      </c>
      <c r="H42" s="52">
        <f t="array" ref="H42">IF($B42="","",IFERROR(IF(INDEX('01_UngVien_PhongVan'!$H:$H,MATCH($B42,'01_UngVien_PhongVan'!$B:$B,0))=0,"",INDEX('01_UngVien_PhongVan'!$H:$H,MATCH($B42,'01_UngVien_PhongVan'!$B:$B,0))),""))</f>
      </c>
      <c r="I42" s="60">
        <f t="array" ref="I42">IF($B42="","",IFERROR(IF(INDEX('01_UngVien_PhongVan'!$I:$I,MATCH($B42,'01_UngVien_PhongVan'!$B:$B,0))=0,"",INDEX('01_UngVien_PhongVan'!$I:$I,MATCH($B42,'01_UngVien_PhongVan'!$B:$B,0))),""))</f>
      </c>
      <c r="J42" s="60">
        <f t="array" ref="J42">IF($B42="","",IFERROR(IF(INDEX('01_UngVien_PhongVan'!$J:$J,MATCH($B42,'01_UngVien_PhongVan'!$B:$B,0))=0,"",INDEX('01_UngVien_PhongVan'!$J:$J,MATCH($B42,'01_UngVien_PhongVan'!$B:$B,0))),""))</f>
      </c>
      <c r="K42" s="73">
        <f t="array" ref="K42">IF($B42="","",IFERROR(IF(INDEX('01_UngVien_PhongVan'!$K:$K,MATCH($B42,'01_UngVien_PhongVan'!$B:$B,0))=0,"",INDEX('01_UngVien_PhongVan'!$K:$K,MATCH($B42,'01_UngVien_PhongVan'!$B:$B,0))),""))</f>
      </c>
      <c r="L42" s="60">
        <f t="array" ref="L42">IF($B42="","",IFERROR(IF(INDEX('01_UngVien_PhongVan'!$L:$L,MATCH($B42,'01_UngVien_PhongVan'!$B:$B,0))=0,"",INDEX('01_UngVien_PhongVan'!$L:$L,MATCH($B42,'01_UngVien_PhongVan'!$B:$B,0))),""))</f>
      </c>
      <c r="M42" s="60">
        <f t="array" ref="M42">IF($B42="","",IFERROR(IF(INDEX('01_UngVien_PhongVan'!$E:$E,MATCH($B42,'01_UngVien_PhongVan'!$B:$B,0))=0,"",INDEX('01_UngVien_PhongVan'!$E:$E,MATCH($B42,'01_UngVien_PhongVan'!$B:$B,0))),""))</f>
      </c>
      <c r="N42" s="60">
        <f t="array" ref="N42">IF($B42="","",IFERROR(IF(INDEX('01_UngVien_PhongVan'!$M:$M,MATCH($B42,'01_UngVien_PhongVan'!$B:$B,0))=0,"",INDEX('01_UngVien_PhongVan'!$M:$M,MATCH($B42,'01_UngVien_PhongVan'!$B:$B,0))),""))</f>
      </c>
      <c r="O42" s="60">
        <f t="array" ref="O42">IF($B42="","",IFERROR(IF(INDEX('01_UngVien_PhongVan'!$N:$N,MATCH($B42,'01_UngVien_PhongVan'!$B:$B,0))=0,"",INDEX('01_UngVien_PhongVan'!$N:$N,MATCH($B42,'01_UngVien_PhongVan'!$B:$B,0))),""))</f>
      </c>
      <c r="P42" s="60">
        <f t="array" ref="P42">IF($B42="","",IFERROR(IF(INDEX('01_UngVien_PhongVan'!$O:$O,MATCH($B42,'01_UngVien_PhongVan'!$B:$B,0))=0,"",INDEX('01_UngVien_PhongVan'!$O:$O,MATCH($B42,'01_UngVien_PhongVan'!$B:$B,0))),""))</f>
      </c>
      <c r="Q42" s="60">
        <f t="array" ref="Q42">IF($B42="","",IFERROR(IF(INDEX('01_UngVien_PhongVan'!$P:$P,MATCH($B42,'01_UngVien_PhongVan'!$B:$B,0))=0,"",INDEX('01_UngVien_PhongVan'!$P:$P,MATCH($B42,'01_UngVien_PhongVan'!$B:$B,0))),""))</f>
      </c>
      <c r="R42" s="60">
        <f t="array" ref="R42">IF($B42="","",IFERROR(IF(INDEX('01_UngVien_PhongVan'!$Q:$Q,MATCH($B42,'01_UngVien_PhongVan'!$B:$B,0))=0,"",INDEX('01_UngVien_PhongVan'!$Q:$Q,MATCH($B42,'01_UngVien_PhongVan'!$B:$B,0))),""))</f>
      </c>
      <c r="S42" s="60">
        <f t="array" ref="S42">IF($B42="","",IFERROR(IF(INDEX('01_UngVien_PhongVan'!$R:$R,MATCH($B42,'01_UngVien_PhongVan'!$B:$B,0))=0,"",INDEX('01_UngVien_PhongVan'!$R:$R,MATCH($B42,'01_UngVien_PhongVan'!$B:$B,0))),""))</f>
      </c>
      <c r="T42" s="60">
        <f t="array" ref="T42">IF($B42="","",IFERROR(IF(INDEX('01_UngVien_PhongVan'!$U:$U,MATCH($B42,'01_UngVien_PhongVan'!$B:$B,0))=0,"",INDEX('01_UngVien_PhongVan'!$U:$U,MATCH($B42,'01_UngVien_PhongVan'!$B:$B,0))),""))</f>
      </c>
      <c r="U42" s="73">
        <f t="array" ref="U42">IF($B42="","",IFERROR(IF(INDEX('01_UngVien_PhongVan'!$C:$C,MATCH($B42,'01_UngVien_PhongVan'!$B:$B,0))=0,"",INDEX('01_UngVien_PhongVan'!$C:$C,MATCH($B42,'01_UngVien_PhongVan'!$B:$B,0))),""))</f>
      </c>
      <c r="V42" s="73">
        <f t="array" ref="V42">IF($B42="","",IFERROR(IF(INDEX('02_DS_Nhan_Viec'!$D:$D,MATCH($B42,'02_DS_Nhan_Viec'!$B:$B,0))=0,"",INDEX('02_DS_Nhan_Viec'!$D:$D,MATCH($B42,'02_DS_Nhan_Viec'!$B:$B,0))),""))</f>
      </c>
      <c r="W42" s="73">
        <f t="array" ref="W42">IF($B42="","",IFERROR(IF(INDEX('02_DS_Nhan_Viec'!$E:$E,MATCH($B42,'02_DS_Nhan_Viec'!$B:$B,0))=0,"",INDEX('02_DS_Nhan_Viec'!$E:$E,MATCH($B42,'02_DS_Nhan_Viec'!$B:$B,0))),""))</f>
      </c>
      <c r="X42" s="73">
        <f t="array" ref="X42">IF($C42="","",IFERROR(IF(INDEX('05_Theo_Doi_Gio_Cong_7_Ngay'!$P:$P,MATCH($C42,'05_Theo_Doi_Gio_Cong_7_Ngay'!$B:$B,0))=0,"",INDEX('05_Theo_Doi_Gio_Cong_7_Ngay'!$P:$P,MATCH($C42,'05_Theo_Doi_Gio_Cong_7_Ngay'!$B:$B,0))),""))</f>
      </c>
      <c r="Y42" s="60">
        <f t="array" ref="Y42">IF($C42="","",IFERROR(IF(INDEX('05_Theo_Doi_Gio_Cong_7_Ngay'!$M:$M,MATCH($C42,'05_Theo_Doi_Gio_Cong_7_Ngay'!$B:$B,0))=0,"",INDEX('05_Theo_Doi_Gio_Cong_7_Ngay'!$M:$M,MATCH($C42,'05_Theo_Doi_Gio_Cong_7_Ngay'!$B:$B,0))),""))</f>
      </c>
      <c r="Z42" s="60">
        <f t="array" ref="Z42">IF($C42="","",IFERROR(IF(INDEX('05_Theo_Doi_Gio_Cong_7_Ngay'!$Q:$Q,MATCH($C42,'05_Theo_Doi_Gio_Cong_7_Ngay'!$B:$B,0))=0,"",INDEX('05_Theo_Doi_Gio_Cong_7_Ngay'!$Q:$Q,MATCH($C42,'05_Theo_Doi_Gio_Cong_7_Ngay'!$B:$B,0))),""))</f>
      </c>
      <c r="AA42" s="60">
        <f t="array" ref="AA42">IF($B42="","",IFERROR(IF(INDEX('02_DS_Nhan_Viec'!$H:$H,MATCH($B42,'02_DS_Nhan_Viec'!$B:$B,0))=0,"",INDEX('02_DS_Nhan_Viec'!$H:$H,MATCH($B42,'02_DS_Nhan_Viec'!$B:$B,0))),""))</f>
      </c>
      <c r="AB42" s="60">
        <f t="array" ref="AB42">IF($B42="","",IFERROR(IF(INDEX('02_DS_Nhan_Viec'!$I:$I,MATCH($B42,'02_DS_Nhan_Viec'!$B:$B,0))=0,"",INDEX('02_DS_Nhan_Viec'!$I:$I,MATCH($B42,'02_DS_Nhan_Viec'!$B:$B,0))),""))</f>
      </c>
      <c r="AC42" s="61">
        <f t="array" ref="AC42">IF($B42="","",IF($C42="","Đang theo dõi",IF(OR(IFERROR(INDEX('05_Theo_Doi_Gio_Cong_7_Ngay'!$R:$R,MATCH($C42,'05_Theo_Doi_Gio_Cong_7_Ngay'!$B:$B,0)),"")="",IFERROR(INDEX('05_Theo_Doi_Gio_Cong_7_Ngay'!$R:$R,MATCH($C42,'05_Theo_Doi_Gio_Cong_7_Ngay'!$B:$B,0)),0)=0),"Đang theo dõi",IFERROR(INDEX('06_DS_Chinh_Thuc'!$K:$K,MATCH(IFERROR(INDEX('05_Theo_Doi_Gio_Cong_7_Ngay'!$R:$R,MATCH($C42,'05_Theo_Doi_Gio_Cong_7_Ngay'!$B:$B,0)),0),'06_DS_Chinh_Thuc'!$B:$B,0)),"Đang theo dõi"))))</f>
      </c>
    </row>
    <row r="43" ht="14.25" customHeight="1" spans="1:29" x14ac:dyDescent="0.25">
      <c r="A43" s="52">
        <f t="shared" si="0"/>
      </c>
      <c r="B43" s="52">
        <f t="array" ref="B43">IFERROR(INDEX('02_DS_Nhan_Viec'!$B:$B,MATCH(42,'02_DS_Nhan_Viec'!$M:$M,0)),"")</f>
      </c>
      <c r="C43" s="52">
        <f t="array" ref="C43">IF($B43="","",IFERROR(IF(INDEX('02_DS_Nhan_Viec'!$J:$J,MATCH($B43,'02_DS_Nhan_Viec'!$B:$B,0))=0,"",INDEX('02_DS_Nhan_Viec'!$J:$J,MATCH($B43,'02_DS_Nhan_Viec'!$B:$B,0))),""))</f>
      </c>
      <c r="D43" s="52">
        <f t="array" ref="D43">IF($C43="","",IFERROR(IF(INDEX('05_Theo_Doi_Gio_Cong_7_Ngay'!$R:$R,MATCH($C43,'05_Theo_Doi_Gio_Cong_7_Ngay'!$B:$B,0))=0,"",INDEX('05_Theo_Doi_Gio_Cong_7_Ngay'!$R:$R,MATCH($C43,'05_Theo_Doi_Gio_Cong_7_Ngay'!$B:$B,0))),""))</f>
      </c>
      <c r="E43" s="60">
        <f t="array" ref="E43">IF($B43="","",IFERROR(IF(INDEX('01_UngVien_PhongVan'!$D:$D,MATCH($B43,'01_UngVien_PhongVan'!$B:$B,0))=0,"",INDEX('01_UngVien_PhongVan'!$D:$D,MATCH($B43,'01_UngVien_PhongVan'!$B:$B,0))),""))</f>
      </c>
      <c r="F43" s="52">
        <f t="array" ref="F43">IF($B43="","",IFERROR(IF(INDEX('01_UngVien_PhongVan'!$F:$F,MATCH($B43,'01_UngVien_PhongVan'!$B:$B,0))=0,"",INDEX('01_UngVien_PhongVan'!$F:$F,MATCH($B43,'01_UngVien_PhongVan'!$B:$B,0))),""))</f>
      </c>
      <c r="G43" s="72">
        <f t="array" ref="G43">IF($B43="","",IFERROR(IF(INDEX('01_UngVien_PhongVan'!$G:$G,MATCH($B43,'01_UngVien_PhongVan'!$B:$B,0))=0,"",INDEX('01_UngVien_PhongVan'!$G:$G,MATCH($B43,'01_UngVien_PhongVan'!$B:$B,0))),""))</f>
      </c>
      <c r="H43" s="52">
        <f t="array" ref="H43">IF($B43="","",IFERROR(IF(INDEX('01_UngVien_PhongVan'!$H:$H,MATCH($B43,'01_UngVien_PhongVan'!$B:$B,0))=0,"",INDEX('01_UngVien_PhongVan'!$H:$H,MATCH($B43,'01_UngVien_PhongVan'!$B:$B,0))),""))</f>
      </c>
      <c r="I43" s="60">
        <f t="array" ref="I43">IF($B43="","",IFERROR(IF(INDEX('01_UngVien_PhongVan'!$I:$I,MATCH($B43,'01_UngVien_PhongVan'!$B:$B,0))=0,"",INDEX('01_UngVien_PhongVan'!$I:$I,MATCH($B43,'01_UngVien_PhongVan'!$B:$B,0))),""))</f>
      </c>
      <c r="J43" s="60">
        <f t="array" ref="J43">IF($B43="","",IFERROR(IF(INDEX('01_UngVien_PhongVan'!$J:$J,MATCH($B43,'01_UngVien_PhongVan'!$B:$B,0))=0,"",INDEX('01_UngVien_PhongVan'!$J:$J,MATCH($B43,'01_UngVien_PhongVan'!$B:$B,0))),""))</f>
      </c>
      <c r="K43" s="73">
        <f t="array" ref="K43">IF($B43="","",IFERROR(IF(INDEX('01_UngVien_PhongVan'!$K:$K,MATCH($B43,'01_UngVien_PhongVan'!$B:$B,0))=0,"",INDEX('01_UngVien_PhongVan'!$K:$K,MATCH($B43,'01_UngVien_PhongVan'!$B:$B,0))),""))</f>
      </c>
      <c r="L43" s="60">
        <f t="array" ref="L43">IF($B43="","",IFERROR(IF(INDEX('01_UngVien_PhongVan'!$L:$L,MATCH($B43,'01_UngVien_PhongVan'!$B:$B,0))=0,"",INDEX('01_UngVien_PhongVan'!$L:$L,MATCH($B43,'01_UngVien_PhongVan'!$B:$B,0))),""))</f>
      </c>
      <c r="M43" s="60">
        <f t="array" ref="M43">IF($B43="","",IFERROR(IF(INDEX('01_UngVien_PhongVan'!$E:$E,MATCH($B43,'01_UngVien_PhongVan'!$B:$B,0))=0,"",INDEX('01_UngVien_PhongVan'!$E:$E,MATCH($B43,'01_UngVien_PhongVan'!$B:$B,0))),""))</f>
      </c>
      <c r="N43" s="60">
        <f t="array" ref="N43">IF($B43="","",IFERROR(IF(INDEX('01_UngVien_PhongVan'!$M:$M,MATCH($B43,'01_UngVien_PhongVan'!$B:$B,0))=0,"",INDEX('01_UngVien_PhongVan'!$M:$M,MATCH($B43,'01_UngVien_PhongVan'!$B:$B,0))),""))</f>
      </c>
      <c r="O43" s="60">
        <f t="array" ref="O43">IF($B43="","",IFERROR(IF(INDEX('01_UngVien_PhongVan'!$N:$N,MATCH($B43,'01_UngVien_PhongVan'!$B:$B,0))=0,"",INDEX('01_UngVien_PhongVan'!$N:$N,MATCH($B43,'01_UngVien_PhongVan'!$B:$B,0))),""))</f>
      </c>
      <c r="P43" s="60">
        <f t="array" ref="P43">IF($B43="","",IFERROR(IF(INDEX('01_UngVien_PhongVan'!$O:$O,MATCH($B43,'01_UngVien_PhongVan'!$B:$B,0))=0,"",INDEX('01_UngVien_PhongVan'!$O:$O,MATCH($B43,'01_UngVien_PhongVan'!$B:$B,0))),""))</f>
      </c>
      <c r="Q43" s="60">
        <f t="array" ref="Q43">IF($B43="","",IFERROR(IF(INDEX('01_UngVien_PhongVan'!$P:$P,MATCH($B43,'01_UngVien_PhongVan'!$B:$B,0))=0,"",INDEX('01_UngVien_PhongVan'!$P:$P,MATCH($B43,'01_UngVien_PhongVan'!$B:$B,0))),""))</f>
      </c>
      <c r="R43" s="60">
        <f t="array" ref="R43">IF($B43="","",IFERROR(IF(INDEX('01_UngVien_PhongVan'!$Q:$Q,MATCH($B43,'01_UngVien_PhongVan'!$B:$B,0))=0,"",INDEX('01_UngVien_PhongVan'!$Q:$Q,MATCH($B43,'01_UngVien_PhongVan'!$B:$B,0))),""))</f>
      </c>
      <c r="S43" s="60">
        <f t="array" ref="S43">IF($B43="","",IFERROR(IF(INDEX('01_UngVien_PhongVan'!$R:$R,MATCH($B43,'01_UngVien_PhongVan'!$B:$B,0))=0,"",INDEX('01_UngVien_PhongVan'!$R:$R,MATCH($B43,'01_UngVien_PhongVan'!$B:$B,0))),""))</f>
      </c>
      <c r="T43" s="60">
        <f t="array" ref="T43">IF($B43="","",IFERROR(IF(INDEX('01_UngVien_PhongVan'!$U:$U,MATCH($B43,'01_UngVien_PhongVan'!$B:$B,0))=0,"",INDEX('01_UngVien_PhongVan'!$U:$U,MATCH($B43,'01_UngVien_PhongVan'!$B:$B,0))),""))</f>
      </c>
      <c r="U43" s="73">
        <f t="array" ref="U43">IF($B43="","",IFERROR(IF(INDEX('01_UngVien_PhongVan'!$C:$C,MATCH($B43,'01_UngVien_PhongVan'!$B:$B,0))=0,"",INDEX('01_UngVien_PhongVan'!$C:$C,MATCH($B43,'01_UngVien_PhongVan'!$B:$B,0))),""))</f>
      </c>
      <c r="V43" s="73">
        <f t="array" ref="V43">IF($B43="","",IFERROR(IF(INDEX('02_DS_Nhan_Viec'!$D:$D,MATCH($B43,'02_DS_Nhan_Viec'!$B:$B,0))=0,"",INDEX('02_DS_Nhan_Viec'!$D:$D,MATCH($B43,'02_DS_Nhan_Viec'!$B:$B,0))),""))</f>
      </c>
      <c r="W43" s="73">
        <f t="array" ref="W43">IF($B43="","",IFERROR(IF(INDEX('02_DS_Nhan_Viec'!$E:$E,MATCH($B43,'02_DS_Nhan_Viec'!$B:$B,0))=0,"",INDEX('02_DS_Nhan_Viec'!$E:$E,MATCH($B43,'02_DS_Nhan_Viec'!$B:$B,0))),""))</f>
      </c>
      <c r="X43" s="73">
        <f t="array" ref="X43">IF($C43="","",IFERROR(IF(INDEX('05_Theo_Doi_Gio_Cong_7_Ngay'!$P:$P,MATCH($C43,'05_Theo_Doi_Gio_Cong_7_Ngay'!$B:$B,0))=0,"",INDEX('05_Theo_Doi_Gio_Cong_7_Ngay'!$P:$P,MATCH($C43,'05_Theo_Doi_Gio_Cong_7_Ngay'!$B:$B,0))),""))</f>
      </c>
      <c r="Y43" s="60">
        <f t="array" ref="Y43">IF($C43="","",IFERROR(IF(INDEX('05_Theo_Doi_Gio_Cong_7_Ngay'!$M:$M,MATCH($C43,'05_Theo_Doi_Gio_Cong_7_Ngay'!$B:$B,0))=0,"",INDEX('05_Theo_Doi_Gio_Cong_7_Ngay'!$M:$M,MATCH($C43,'05_Theo_Doi_Gio_Cong_7_Ngay'!$B:$B,0))),""))</f>
      </c>
      <c r="Z43" s="60">
        <f t="array" ref="Z43">IF($C43="","",IFERROR(IF(INDEX('05_Theo_Doi_Gio_Cong_7_Ngay'!$Q:$Q,MATCH($C43,'05_Theo_Doi_Gio_Cong_7_Ngay'!$B:$B,0))=0,"",INDEX('05_Theo_Doi_Gio_Cong_7_Ngay'!$Q:$Q,MATCH($C43,'05_Theo_Doi_Gio_Cong_7_Ngay'!$B:$B,0))),""))</f>
      </c>
      <c r="AA43" s="60">
        <f t="array" ref="AA43">IF($B43="","",IFERROR(IF(INDEX('02_DS_Nhan_Viec'!$H:$H,MATCH($B43,'02_DS_Nhan_Viec'!$B:$B,0))=0,"",INDEX('02_DS_Nhan_Viec'!$H:$H,MATCH($B43,'02_DS_Nhan_Viec'!$B:$B,0))),""))</f>
      </c>
      <c r="AB43" s="60">
        <f t="array" ref="AB43">IF($B43="","",IFERROR(IF(INDEX('02_DS_Nhan_Viec'!$I:$I,MATCH($B43,'02_DS_Nhan_Viec'!$B:$B,0))=0,"",INDEX('02_DS_Nhan_Viec'!$I:$I,MATCH($B43,'02_DS_Nhan_Viec'!$B:$B,0))),""))</f>
      </c>
      <c r="AC43" s="61">
        <f t="array" ref="AC43">IF($B43="","",IF($C43="","Đang theo dõi",IF(OR(IFERROR(INDEX('05_Theo_Doi_Gio_Cong_7_Ngay'!$R:$R,MATCH($C43,'05_Theo_Doi_Gio_Cong_7_Ngay'!$B:$B,0)),"")="",IFERROR(INDEX('05_Theo_Doi_Gio_Cong_7_Ngay'!$R:$R,MATCH($C43,'05_Theo_Doi_Gio_Cong_7_Ngay'!$B:$B,0)),0)=0),"Đang theo dõi",IFERROR(INDEX('06_DS_Chinh_Thuc'!$K:$K,MATCH(IFERROR(INDEX('05_Theo_Doi_Gio_Cong_7_Ngay'!$R:$R,MATCH($C43,'05_Theo_Doi_Gio_Cong_7_Ngay'!$B:$B,0)),0),'06_DS_Chinh_Thuc'!$B:$B,0)),"Đang theo dõi"))))</f>
      </c>
    </row>
    <row r="44" ht="14.25" customHeight="1" spans="1:29" x14ac:dyDescent="0.25">
      <c r="A44" s="52">
        <f t="shared" si="0"/>
      </c>
      <c r="B44" s="52">
        <f t="array" ref="B44">IFERROR(INDEX('02_DS_Nhan_Viec'!$B:$B,MATCH(43,'02_DS_Nhan_Viec'!$M:$M,0)),"")</f>
      </c>
      <c r="C44" s="52">
        <f t="array" ref="C44">IF($B44="","",IFERROR(IF(INDEX('02_DS_Nhan_Viec'!$J:$J,MATCH($B44,'02_DS_Nhan_Viec'!$B:$B,0))=0,"",INDEX('02_DS_Nhan_Viec'!$J:$J,MATCH($B44,'02_DS_Nhan_Viec'!$B:$B,0))),""))</f>
      </c>
      <c r="D44" s="52">
        <f t="array" ref="D44">IF($C44="","",IFERROR(IF(INDEX('05_Theo_Doi_Gio_Cong_7_Ngay'!$R:$R,MATCH($C44,'05_Theo_Doi_Gio_Cong_7_Ngay'!$B:$B,0))=0,"",INDEX('05_Theo_Doi_Gio_Cong_7_Ngay'!$R:$R,MATCH($C44,'05_Theo_Doi_Gio_Cong_7_Ngay'!$B:$B,0))),""))</f>
      </c>
      <c r="E44" s="60">
        <f t="array" ref="E44">IF($B44="","",IFERROR(IF(INDEX('01_UngVien_PhongVan'!$D:$D,MATCH($B44,'01_UngVien_PhongVan'!$B:$B,0))=0,"",INDEX('01_UngVien_PhongVan'!$D:$D,MATCH($B44,'01_UngVien_PhongVan'!$B:$B,0))),""))</f>
      </c>
      <c r="F44" s="52">
        <f t="array" ref="F44">IF($B44="","",IFERROR(IF(INDEX('01_UngVien_PhongVan'!$F:$F,MATCH($B44,'01_UngVien_PhongVan'!$B:$B,0))=0,"",INDEX('01_UngVien_PhongVan'!$F:$F,MATCH($B44,'01_UngVien_PhongVan'!$B:$B,0))),""))</f>
      </c>
      <c r="G44" s="72">
        <f t="array" ref="G44">IF($B44="","",IFERROR(IF(INDEX('01_UngVien_PhongVan'!$G:$G,MATCH($B44,'01_UngVien_PhongVan'!$B:$B,0))=0,"",INDEX('01_UngVien_PhongVan'!$G:$G,MATCH($B44,'01_UngVien_PhongVan'!$B:$B,0))),""))</f>
      </c>
      <c r="H44" s="52">
        <f t="array" ref="H44">IF($B44="","",IFERROR(IF(INDEX('01_UngVien_PhongVan'!$H:$H,MATCH($B44,'01_UngVien_PhongVan'!$B:$B,0))=0,"",INDEX('01_UngVien_PhongVan'!$H:$H,MATCH($B44,'01_UngVien_PhongVan'!$B:$B,0))),""))</f>
      </c>
      <c r="I44" s="60">
        <f t="array" ref="I44">IF($B44="","",IFERROR(IF(INDEX('01_UngVien_PhongVan'!$I:$I,MATCH($B44,'01_UngVien_PhongVan'!$B:$B,0))=0,"",INDEX('01_UngVien_PhongVan'!$I:$I,MATCH($B44,'01_UngVien_PhongVan'!$B:$B,0))),""))</f>
      </c>
      <c r="J44" s="60">
        <f t="array" ref="J44">IF($B44="","",IFERROR(IF(INDEX('01_UngVien_PhongVan'!$J:$J,MATCH($B44,'01_UngVien_PhongVan'!$B:$B,0))=0,"",INDEX('01_UngVien_PhongVan'!$J:$J,MATCH($B44,'01_UngVien_PhongVan'!$B:$B,0))),""))</f>
      </c>
      <c r="K44" s="73">
        <f t="array" ref="K44">IF($B44="","",IFERROR(IF(INDEX('01_UngVien_PhongVan'!$K:$K,MATCH($B44,'01_UngVien_PhongVan'!$B:$B,0))=0,"",INDEX('01_UngVien_PhongVan'!$K:$K,MATCH($B44,'01_UngVien_PhongVan'!$B:$B,0))),""))</f>
      </c>
      <c r="L44" s="60">
        <f t="array" ref="L44">IF($B44="","",IFERROR(IF(INDEX('01_UngVien_PhongVan'!$L:$L,MATCH($B44,'01_UngVien_PhongVan'!$B:$B,0))=0,"",INDEX('01_UngVien_PhongVan'!$L:$L,MATCH($B44,'01_UngVien_PhongVan'!$B:$B,0))),""))</f>
      </c>
      <c r="M44" s="60">
        <f t="array" ref="M44">IF($B44="","",IFERROR(IF(INDEX('01_UngVien_PhongVan'!$E:$E,MATCH($B44,'01_UngVien_PhongVan'!$B:$B,0))=0,"",INDEX('01_UngVien_PhongVan'!$E:$E,MATCH($B44,'01_UngVien_PhongVan'!$B:$B,0))),""))</f>
      </c>
      <c r="N44" s="60">
        <f t="array" ref="N44">IF($B44="","",IFERROR(IF(INDEX('01_UngVien_PhongVan'!$M:$M,MATCH($B44,'01_UngVien_PhongVan'!$B:$B,0))=0,"",INDEX('01_UngVien_PhongVan'!$M:$M,MATCH($B44,'01_UngVien_PhongVan'!$B:$B,0))),""))</f>
      </c>
      <c r="O44" s="60">
        <f t="array" ref="O44">IF($B44="","",IFERROR(IF(INDEX('01_UngVien_PhongVan'!$N:$N,MATCH($B44,'01_UngVien_PhongVan'!$B:$B,0))=0,"",INDEX('01_UngVien_PhongVan'!$N:$N,MATCH($B44,'01_UngVien_PhongVan'!$B:$B,0))),""))</f>
      </c>
      <c r="P44" s="60">
        <f t="array" ref="P44">IF($B44="","",IFERROR(IF(INDEX('01_UngVien_PhongVan'!$O:$O,MATCH($B44,'01_UngVien_PhongVan'!$B:$B,0))=0,"",INDEX('01_UngVien_PhongVan'!$O:$O,MATCH($B44,'01_UngVien_PhongVan'!$B:$B,0))),""))</f>
      </c>
      <c r="Q44" s="60">
        <f t="array" ref="Q44">IF($B44="","",IFERROR(IF(INDEX('01_UngVien_PhongVan'!$P:$P,MATCH($B44,'01_UngVien_PhongVan'!$B:$B,0))=0,"",INDEX('01_UngVien_PhongVan'!$P:$P,MATCH($B44,'01_UngVien_PhongVan'!$B:$B,0))),""))</f>
      </c>
      <c r="R44" s="60">
        <f t="array" ref="R44">IF($B44="","",IFERROR(IF(INDEX('01_UngVien_PhongVan'!$Q:$Q,MATCH($B44,'01_UngVien_PhongVan'!$B:$B,0))=0,"",INDEX('01_UngVien_PhongVan'!$Q:$Q,MATCH($B44,'01_UngVien_PhongVan'!$B:$B,0))),""))</f>
      </c>
      <c r="S44" s="60">
        <f t="array" ref="S44">IF($B44="","",IFERROR(IF(INDEX('01_UngVien_PhongVan'!$R:$R,MATCH($B44,'01_UngVien_PhongVan'!$B:$B,0))=0,"",INDEX('01_UngVien_PhongVan'!$R:$R,MATCH($B44,'01_UngVien_PhongVan'!$B:$B,0))),""))</f>
      </c>
      <c r="T44" s="60">
        <f t="array" ref="T44">IF($B44="","",IFERROR(IF(INDEX('01_UngVien_PhongVan'!$U:$U,MATCH($B44,'01_UngVien_PhongVan'!$B:$B,0))=0,"",INDEX('01_UngVien_PhongVan'!$U:$U,MATCH($B44,'01_UngVien_PhongVan'!$B:$B,0))),""))</f>
      </c>
      <c r="U44" s="73">
        <f t="array" ref="U44">IF($B44="","",IFERROR(IF(INDEX('01_UngVien_PhongVan'!$C:$C,MATCH($B44,'01_UngVien_PhongVan'!$B:$B,0))=0,"",INDEX('01_UngVien_PhongVan'!$C:$C,MATCH($B44,'01_UngVien_PhongVan'!$B:$B,0))),""))</f>
      </c>
      <c r="V44" s="73">
        <f t="array" ref="V44">IF($B44="","",IFERROR(IF(INDEX('02_DS_Nhan_Viec'!$D:$D,MATCH($B44,'02_DS_Nhan_Viec'!$B:$B,0))=0,"",INDEX('02_DS_Nhan_Viec'!$D:$D,MATCH($B44,'02_DS_Nhan_Viec'!$B:$B,0))),""))</f>
      </c>
      <c r="W44" s="73">
        <f t="array" ref="W44">IF($B44="","",IFERROR(IF(INDEX('02_DS_Nhan_Viec'!$E:$E,MATCH($B44,'02_DS_Nhan_Viec'!$B:$B,0))=0,"",INDEX('02_DS_Nhan_Viec'!$E:$E,MATCH($B44,'02_DS_Nhan_Viec'!$B:$B,0))),""))</f>
      </c>
      <c r="X44" s="73">
        <f t="array" ref="X44">IF($C44="","",IFERROR(IF(INDEX('05_Theo_Doi_Gio_Cong_7_Ngay'!$P:$P,MATCH($C44,'05_Theo_Doi_Gio_Cong_7_Ngay'!$B:$B,0))=0,"",INDEX('05_Theo_Doi_Gio_Cong_7_Ngay'!$P:$P,MATCH($C44,'05_Theo_Doi_Gio_Cong_7_Ngay'!$B:$B,0))),""))</f>
      </c>
      <c r="Y44" s="60">
        <f t="array" ref="Y44">IF($C44="","",IFERROR(IF(INDEX('05_Theo_Doi_Gio_Cong_7_Ngay'!$M:$M,MATCH($C44,'05_Theo_Doi_Gio_Cong_7_Ngay'!$B:$B,0))=0,"",INDEX('05_Theo_Doi_Gio_Cong_7_Ngay'!$M:$M,MATCH($C44,'05_Theo_Doi_Gio_Cong_7_Ngay'!$B:$B,0))),""))</f>
      </c>
      <c r="Z44" s="60">
        <f t="array" ref="Z44">IF($C44="","",IFERROR(IF(INDEX('05_Theo_Doi_Gio_Cong_7_Ngay'!$Q:$Q,MATCH($C44,'05_Theo_Doi_Gio_Cong_7_Ngay'!$B:$B,0))=0,"",INDEX('05_Theo_Doi_Gio_Cong_7_Ngay'!$Q:$Q,MATCH($C44,'05_Theo_Doi_Gio_Cong_7_Ngay'!$B:$B,0))),""))</f>
      </c>
      <c r="AA44" s="60">
        <f t="array" ref="AA44">IF($B44="","",IFERROR(IF(INDEX('02_DS_Nhan_Viec'!$H:$H,MATCH($B44,'02_DS_Nhan_Viec'!$B:$B,0))=0,"",INDEX('02_DS_Nhan_Viec'!$H:$H,MATCH($B44,'02_DS_Nhan_Viec'!$B:$B,0))),""))</f>
      </c>
      <c r="AB44" s="60">
        <f t="array" ref="AB44">IF($B44="","",IFERROR(IF(INDEX('02_DS_Nhan_Viec'!$I:$I,MATCH($B44,'02_DS_Nhan_Viec'!$B:$B,0))=0,"",INDEX('02_DS_Nhan_Viec'!$I:$I,MATCH($B44,'02_DS_Nhan_Viec'!$B:$B,0))),""))</f>
      </c>
      <c r="AC44" s="61">
        <f t="array" ref="AC44">IF($B44="","",IF($C44="","Đang theo dõi",IF(OR(IFERROR(INDEX('05_Theo_Doi_Gio_Cong_7_Ngay'!$R:$R,MATCH($C44,'05_Theo_Doi_Gio_Cong_7_Ngay'!$B:$B,0)),"")="",IFERROR(INDEX('05_Theo_Doi_Gio_Cong_7_Ngay'!$R:$R,MATCH($C44,'05_Theo_Doi_Gio_Cong_7_Ngay'!$B:$B,0)),0)=0),"Đang theo dõi",IFERROR(INDEX('06_DS_Chinh_Thuc'!$K:$K,MATCH(IFERROR(INDEX('05_Theo_Doi_Gio_Cong_7_Ngay'!$R:$R,MATCH($C44,'05_Theo_Doi_Gio_Cong_7_Ngay'!$B:$B,0)),0),'06_DS_Chinh_Thuc'!$B:$B,0)),"Đang theo dõi"))))</f>
      </c>
    </row>
    <row r="45" ht="14.25" customHeight="1" spans="1:29" x14ac:dyDescent="0.25">
      <c r="A45" s="52">
        <f t="shared" si="0"/>
      </c>
      <c r="B45" s="52">
        <f t="array" ref="B45">IFERROR(INDEX('02_DS_Nhan_Viec'!$B:$B,MATCH(44,'02_DS_Nhan_Viec'!$M:$M,0)),"")</f>
      </c>
      <c r="C45" s="52">
        <f t="array" ref="C45">IF($B45="","",IFERROR(IF(INDEX('02_DS_Nhan_Viec'!$J:$J,MATCH($B45,'02_DS_Nhan_Viec'!$B:$B,0))=0,"",INDEX('02_DS_Nhan_Viec'!$J:$J,MATCH($B45,'02_DS_Nhan_Viec'!$B:$B,0))),""))</f>
      </c>
      <c r="D45" s="52">
        <f t="array" ref="D45">IF($C45="","",IFERROR(IF(INDEX('05_Theo_Doi_Gio_Cong_7_Ngay'!$R:$R,MATCH($C45,'05_Theo_Doi_Gio_Cong_7_Ngay'!$B:$B,0))=0,"",INDEX('05_Theo_Doi_Gio_Cong_7_Ngay'!$R:$R,MATCH($C45,'05_Theo_Doi_Gio_Cong_7_Ngay'!$B:$B,0))),""))</f>
      </c>
      <c r="E45" s="60">
        <f t="array" ref="E45">IF($B45="","",IFERROR(IF(INDEX('01_UngVien_PhongVan'!$D:$D,MATCH($B45,'01_UngVien_PhongVan'!$B:$B,0))=0,"",INDEX('01_UngVien_PhongVan'!$D:$D,MATCH($B45,'01_UngVien_PhongVan'!$B:$B,0))),""))</f>
      </c>
      <c r="F45" s="52">
        <f t="array" ref="F45">IF($B45="","",IFERROR(IF(INDEX('01_UngVien_PhongVan'!$F:$F,MATCH($B45,'01_UngVien_PhongVan'!$B:$B,0))=0,"",INDEX('01_UngVien_PhongVan'!$F:$F,MATCH($B45,'01_UngVien_PhongVan'!$B:$B,0))),""))</f>
      </c>
      <c r="G45" s="72">
        <f t="array" ref="G45">IF($B45="","",IFERROR(IF(INDEX('01_UngVien_PhongVan'!$G:$G,MATCH($B45,'01_UngVien_PhongVan'!$B:$B,0))=0,"",INDEX('01_UngVien_PhongVan'!$G:$G,MATCH($B45,'01_UngVien_PhongVan'!$B:$B,0))),""))</f>
      </c>
      <c r="H45" s="52">
        <f t="array" ref="H45">IF($B45="","",IFERROR(IF(INDEX('01_UngVien_PhongVan'!$H:$H,MATCH($B45,'01_UngVien_PhongVan'!$B:$B,0))=0,"",INDEX('01_UngVien_PhongVan'!$H:$H,MATCH($B45,'01_UngVien_PhongVan'!$B:$B,0))),""))</f>
      </c>
      <c r="I45" s="60">
        <f t="array" ref="I45">IF($B45="","",IFERROR(IF(INDEX('01_UngVien_PhongVan'!$I:$I,MATCH($B45,'01_UngVien_PhongVan'!$B:$B,0))=0,"",INDEX('01_UngVien_PhongVan'!$I:$I,MATCH($B45,'01_UngVien_PhongVan'!$B:$B,0))),""))</f>
      </c>
      <c r="J45" s="60">
        <f t="array" ref="J45">IF($B45="","",IFERROR(IF(INDEX('01_UngVien_PhongVan'!$J:$J,MATCH($B45,'01_UngVien_PhongVan'!$B:$B,0))=0,"",INDEX('01_UngVien_PhongVan'!$J:$J,MATCH($B45,'01_UngVien_PhongVan'!$B:$B,0))),""))</f>
      </c>
      <c r="K45" s="73">
        <f t="array" ref="K45">IF($B45="","",IFERROR(IF(INDEX('01_UngVien_PhongVan'!$K:$K,MATCH($B45,'01_UngVien_PhongVan'!$B:$B,0))=0,"",INDEX('01_UngVien_PhongVan'!$K:$K,MATCH($B45,'01_UngVien_PhongVan'!$B:$B,0))),""))</f>
      </c>
      <c r="L45" s="60">
        <f t="array" ref="L45">IF($B45="","",IFERROR(IF(INDEX('01_UngVien_PhongVan'!$L:$L,MATCH($B45,'01_UngVien_PhongVan'!$B:$B,0))=0,"",INDEX('01_UngVien_PhongVan'!$L:$L,MATCH($B45,'01_UngVien_PhongVan'!$B:$B,0))),""))</f>
      </c>
      <c r="M45" s="60">
        <f t="array" ref="M45">IF($B45="","",IFERROR(IF(INDEX('01_UngVien_PhongVan'!$E:$E,MATCH($B45,'01_UngVien_PhongVan'!$B:$B,0))=0,"",INDEX('01_UngVien_PhongVan'!$E:$E,MATCH($B45,'01_UngVien_PhongVan'!$B:$B,0))),""))</f>
      </c>
      <c r="N45" s="60">
        <f t="array" ref="N45">IF($B45="","",IFERROR(IF(INDEX('01_UngVien_PhongVan'!$M:$M,MATCH($B45,'01_UngVien_PhongVan'!$B:$B,0))=0,"",INDEX('01_UngVien_PhongVan'!$M:$M,MATCH($B45,'01_UngVien_PhongVan'!$B:$B,0))),""))</f>
      </c>
      <c r="O45" s="60">
        <f t="array" ref="O45">IF($B45="","",IFERROR(IF(INDEX('01_UngVien_PhongVan'!$N:$N,MATCH($B45,'01_UngVien_PhongVan'!$B:$B,0))=0,"",INDEX('01_UngVien_PhongVan'!$N:$N,MATCH($B45,'01_UngVien_PhongVan'!$B:$B,0))),""))</f>
      </c>
      <c r="P45" s="60">
        <f t="array" ref="P45">IF($B45="","",IFERROR(IF(INDEX('01_UngVien_PhongVan'!$O:$O,MATCH($B45,'01_UngVien_PhongVan'!$B:$B,0))=0,"",INDEX('01_UngVien_PhongVan'!$O:$O,MATCH($B45,'01_UngVien_PhongVan'!$B:$B,0))),""))</f>
      </c>
      <c r="Q45" s="60">
        <f t="array" ref="Q45">IF($B45="","",IFERROR(IF(INDEX('01_UngVien_PhongVan'!$P:$P,MATCH($B45,'01_UngVien_PhongVan'!$B:$B,0))=0,"",INDEX('01_UngVien_PhongVan'!$P:$P,MATCH($B45,'01_UngVien_PhongVan'!$B:$B,0))),""))</f>
      </c>
      <c r="R45" s="60">
        <f t="array" ref="R45">IF($B45="","",IFERROR(IF(INDEX('01_UngVien_PhongVan'!$Q:$Q,MATCH($B45,'01_UngVien_PhongVan'!$B:$B,0))=0,"",INDEX('01_UngVien_PhongVan'!$Q:$Q,MATCH($B45,'01_UngVien_PhongVan'!$B:$B,0))),""))</f>
      </c>
      <c r="S45" s="60">
        <f t="array" ref="S45">IF($B45="","",IFERROR(IF(INDEX('01_UngVien_PhongVan'!$R:$R,MATCH($B45,'01_UngVien_PhongVan'!$B:$B,0))=0,"",INDEX('01_UngVien_PhongVan'!$R:$R,MATCH($B45,'01_UngVien_PhongVan'!$B:$B,0))),""))</f>
      </c>
      <c r="T45" s="60">
        <f t="array" ref="T45">IF($B45="","",IFERROR(IF(INDEX('01_UngVien_PhongVan'!$U:$U,MATCH($B45,'01_UngVien_PhongVan'!$B:$B,0))=0,"",INDEX('01_UngVien_PhongVan'!$U:$U,MATCH($B45,'01_UngVien_PhongVan'!$B:$B,0))),""))</f>
      </c>
      <c r="U45" s="73">
        <f t="array" ref="U45">IF($B45="","",IFERROR(IF(INDEX('01_UngVien_PhongVan'!$C:$C,MATCH($B45,'01_UngVien_PhongVan'!$B:$B,0))=0,"",INDEX('01_UngVien_PhongVan'!$C:$C,MATCH($B45,'01_UngVien_PhongVan'!$B:$B,0))),""))</f>
      </c>
      <c r="V45" s="73">
        <f t="array" ref="V45">IF($B45="","",IFERROR(IF(INDEX('02_DS_Nhan_Viec'!$D:$D,MATCH($B45,'02_DS_Nhan_Viec'!$B:$B,0))=0,"",INDEX('02_DS_Nhan_Viec'!$D:$D,MATCH($B45,'02_DS_Nhan_Viec'!$B:$B,0))),""))</f>
      </c>
      <c r="W45" s="73">
        <f t="array" ref="W45">IF($B45="","",IFERROR(IF(INDEX('02_DS_Nhan_Viec'!$E:$E,MATCH($B45,'02_DS_Nhan_Viec'!$B:$B,0))=0,"",INDEX('02_DS_Nhan_Viec'!$E:$E,MATCH($B45,'02_DS_Nhan_Viec'!$B:$B,0))),""))</f>
      </c>
      <c r="X45" s="73">
        <f t="array" ref="X45">IF($C45="","",IFERROR(IF(INDEX('05_Theo_Doi_Gio_Cong_7_Ngay'!$P:$P,MATCH($C45,'05_Theo_Doi_Gio_Cong_7_Ngay'!$B:$B,0))=0,"",INDEX('05_Theo_Doi_Gio_Cong_7_Ngay'!$P:$P,MATCH($C45,'05_Theo_Doi_Gio_Cong_7_Ngay'!$B:$B,0))),""))</f>
      </c>
      <c r="Y45" s="60">
        <f t="array" ref="Y45">IF($C45="","",IFERROR(IF(INDEX('05_Theo_Doi_Gio_Cong_7_Ngay'!$M:$M,MATCH($C45,'05_Theo_Doi_Gio_Cong_7_Ngay'!$B:$B,0))=0,"",INDEX('05_Theo_Doi_Gio_Cong_7_Ngay'!$M:$M,MATCH($C45,'05_Theo_Doi_Gio_Cong_7_Ngay'!$B:$B,0))),""))</f>
      </c>
      <c r="Z45" s="60">
        <f t="array" ref="Z45">IF($C45="","",IFERROR(IF(INDEX('05_Theo_Doi_Gio_Cong_7_Ngay'!$Q:$Q,MATCH($C45,'05_Theo_Doi_Gio_Cong_7_Ngay'!$B:$B,0))=0,"",INDEX('05_Theo_Doi_Gio_Cong_7_Ngay'!$Q:$Q,MATCH($C45,'05_Theo_Doi_Gio_Cong_7_Ngay'!$B:$B,0))),""))</f>
      </c>
      <c r="AA45" s="60">
        <f t="array" ref="AA45">IF($B45="","",IFERROR(IF(INDEX('02_DS_Nhan_Viec'!$H:$H,MATCH($B45,'02_DS_Nhan_Viec'!$B:$B,0))=0,"",INDEX('02_DS_Nhan_Viec'!$H:$H,MATCH($B45,'02_DS_Nhan_Viec'!$B:$B,0))),""))</f>
      </c>
      <c r="AB45" s="60">
        <f t="array" ref="AB45">IF($B45="","",IFERROR(IF(INDEX('02_DS_Nhan_Viec'!$I:$I,MATCH($B45,'02_DS_Nhan_Viec'!$B:$B,0))=0,"",INDEX('02_DS_Nhan_Viec'!$I:$I,MATCH($B45,'02_DS_Nhan_Viec'!$B:$B,0))),""))</f>
      </c>
      <c r="AC45" s="61">
        <f t="array" ref="AC45">IF($B45="","",IF($C45="","Đang theo dõi",IF(OR(IFERROR(INDEX('05_Theo_Doi_Gio_Cong_7_Ngay'!$R:$R,MATCH($C45,'05_Theo_Doi_Gio_Cong_7_Ngay'!$B:$B,0)),"")="",IFERROR(INDEX('05_Theo_Doi_Gio_Cong_7_Ngay'!$R:$R,MATCH($C45,'05_Theo_Doi_Gio_Cong_7_Ngay'!$B:$B,0)),0)=0),"Đang theo dõi",IFERROR(INDEX('06_DS_Chinh_Thuc'!$K:$K,MATCH(IFERROR(INDEX('05_Theo_Doi_Gio_Cong_7_Ngay'!$R:$R,MATCH($C45,'05_Theo_Doi_Gio_Cong_7_Ngay'!$B:$B,0)),0),'06_DS_Chinh_Thuc'!$B:$B,0)),"Đang theo dõi"))))</f>
      </c>
    </row>
    <row r="46" ht="14.25" customHeight="1" spans="1:29" x14ac:dyDescent="0.25">
      <c r="A46" s="52">
        <f t="shared" si="0"/>
      </c>
      <c r="B46" s="52">
        <f t="array" ref="B46">IFERROR(INDEX('02_DS_Nhan_Viec'!$B:$B,MATCH(45,'02_DS_Nhan_Viec'!$M:$M,0)),"")</f>
      </c>
      <c r="C46" s="52">
        <f t="array" ref="C46">IF($B46="","",IFERROR(IF(INDEX('02_DS_Nhan_Viec'!$J:$J,MATCH($B46,'02_DS_Nhan_Viec'!$B:$B,0))=0,"",INDEX('02_DS_Nhan_Viec'!$J:$J,MATCH($B46,'02_DS_Nhan_Viec'!$B:$B,0))),""))</f>
      </c>
      <c r="D46" s="52">
        <f t="array" ref="D46">IF($C46="","",IFERROR(IF(INDEX('05_Theo_Doi_Gio_Cong_7_Ngay'!$R:$R,MATCH($C46,'05_Theo_Doi_Gio_Cong_7_Ngay'!$B:$B,0))=0,"",INDEX('05_Theo_Doi_Gio_Cong_7_Ngay'!$R:$R,MATCH($C46,'05_Theo_Doi_Gio_Cong_7_Ngay'!$B:$B,0))),""))</f>
      </c>
      <c r="E46" s="60">
        <f t="array" ref="E46">IF($B46="","",IFERROR(IF(INDEX('01_UngVien_PhongVan'!$D:$D,MATCH($B46,'01_UngVien_PhongVan'!$B:$B,0))=0,"",INDEX('01_UngVien_PhongVan'!$D:$D,MATCH($B46,'01_UngVien_PhongVan'!$B:$B,0))),""))</f>
      </c>
      <c r="F46" s="52">
        <f t="array" ref="F46">IF($B46="","",IFERROR(IF(INDEX('01_UngVien_PhongVan'!$F:$F,MATCH($B46,'01_UngVien_PhongVan'!$B:$B,0))=0,"",INDEX('01_UngVien_PhongVan'!$F:$F,MATCH($B46,'01_UngVien_PhongVan'!$B:$B,0))),""))</f>
      </c>
      <c r="G46" s="72">
        <f t="array" ref="G46">IF($B46="","",IFERROR(IF(INDEX('01_UngVien_PhongVan'!$G:$G,MATCH($B46,'01_UngVien_PhongVan'!$B:$B,0))=0,"",INDEX('01_UngVien_PhongVan'!$G:$G,MATCH($B46,'01_UngVien_PhongVan'!$B:$B,0))),""))</f>
      </c>
      <c r="H46" s="52">
        <f t="array" ref="H46">IF($B46="","",IFERROR(IF(INDEX('01_UngVien_PhongVan'!$H:$H,MATCH($B46,'01_UngVien_PhongVan'!$B:$B,0))=0,"",INDEX('01_UngVien_PhongVan'!$H:$H,MATCH($B46,'01_UngVien_PhongVan'!$B:$B,0))),""))</f>
      </c>
      <c r="I46" s="60">
        <f t="array" ref="I46">IF($B46="","",IFERROR(IF(INDEX('01_UngVien_PhongVan'!$I:$I,MATCH($B46,'01_UngVien_PhongVan'!$B:$B,0))=0,"",INDEX('01_UngVien_PhongVan'!$I:$I,MATCH($B46,'01_UngVien_PhongVan'!$B:$B,0))),""))</f>
      </c>
      <c r="J46" s="60">
        <f t="array" ref="J46">IF($B46="","",IFERROR(IF(INDEX('01_UngVien_PhongVan'!$J:$J,MATCH($B46,'01_UngVien_PhongVan'!$B:$B,0))=0,"",INDEX('01_UngVien_PhongVan'!$J:$J,MATCH($B46,'01_UngVien_PhongVan'!$B:$B,0))),""))</f>
      </c>
      <c r="K46" s="73">
        <f t="array" ref="K46">IF($B46="","",IFERROR(IF(INDEX('01_UngVien_PhongVan'!$K:$K,MATCH($B46,'01_UngVien_PhongVan'!$B:$B,0))=0,"",INDEX('01_UngVien_PhongVan'!$K:$K,MATCH($B46,'01_UngVien_PhongVan'!$B:$B,0))),""))</f>
      </c>
      <c r="L46" s="60">
        <f t="array" ref="L46">IF($B46="","",IFERROR(IF(INDEX('01_UngVien_PhongVan'!$L:$L,MATCH($B46,'01_UngVien_PhongVan'!$B:$B,0))=0,"",INDEX('01_UngVien_PhongVan'!$L:$L,MATCH($B46,'01_UngVien_PhongVan'!$B:$B,0))),""))</f>
      </c>
      <c r="M46" s="60">
        <f t="array" ref="M46">IF($B46="","",IFERROR(IF(INDEX('01_UngVien_PhongVan'!$E:$E,MATCH($B46,'01_UngVien_PhongVan'!$B:$B,0))=0,"",INDEX('01_UngVien_PhongVan'!$E:$E,MATCH($B46,'01_UngVien_PhongVan'!$B:$B,0))),""))</f>
      </c>
      <c r="N46" s="60">
        <f t="array" ref="N46">IF($B46="","",IFERROR(IF(INDEX('01_UngVien_PhongVan'!$M:$M,MATCH($B46,'01_UngVien_PhongVan'!$B:$B,0))=0,"",INDEX('01_UngVien_PhongVan'!$M:$M,MATCH($B46,'01_UngVien_PhongVan'!$B:$B,0))),""))</f>
      </c>
      <c r="O46" s="60">
        <f t="array" ref="O46">IF($B46="","",IFERROR(IF(INDEX('01_UngVien_PhongVan'!$N:$N,MATCH($B46,'01_UngVien_PhongVan'!$B:$B,0))=0,"",INDEX('01_UngVien_PhongVan'!$N:$N,MATCH($B46,'01_UngVien_PhongVan'!$B:$B,0))),""))</f>
      </c>
      <c r="P46" s="60">
        <f t="array" ref="P46">IF($B46="","",IFERROR(IF(INDEX('01_UngVien_PhongVan'!$O:$O,MATCH($B46,'01_UngVien_PhongVan'!$B:$B,0))=0,"",INDEX('01_UngVien_PhongVan'!$O:$O,MATCH($B46,'01_UngVien_PhongVan'!$B:$B,0))),""))</f>
      </c>
      <c r="Q46" s="60">
        <f t="array" ref="Q46">IF($B46="","",IFERROR(IF(INDEX('01_UngVien_PhongVan'!$P:$P,MATCH($B46,'01_UngVien_PhongVan'!$B:$B,0))=0,"",INDEX('01_UngVien_PhongVan'!$P:$P,MATCH($B46,'01_UngVien_PhongVan'!$B:$B,0))),""))</f>
      </c>
      <c r="R46" s="60">
        <f t="array" ref="R46">IF($B46="","",IFERROR(IF(INDEX('01_UngVien_PhongVan'!$Q:$Q,MATCH($B46,'01_UngVien_PhongVan'!$B:$B,0))=0,"",INDEX('01_UngVien_PhongVan'!$Q:$Q,MATCH($B46,'01_UngVien_PhongVan'!$B:$B,0))),""))</f>
      </c>
      <c r="S46" s="60">
        <f t="array" ref="S46">IF($B46="","",IFERROR(IF(INDEX('01_UngVien_PhongVan'!$R:$R,MATCH($B46,'01_UngVien_PhongVan'!$B:$B,0))=0,"",INDEX('01_UngVien_PhongVan'!$R:$R,MATCH($B46,'01_UngVien_PhongVan'!$B:$B,0))),""))</f>
      </c>
      <c r="T46" s="60">
        <f t="array" ref="T46">IF($B46="","",IFERROR(IF(INDEX('01_UngVien_PhongVan'!$U:$U,MATCH($B46,'01_UngVien_PhongVan'!$B:$B,0))=0,"",INDEX('01_UngVien_PhongVan'!$U:$U,MATCH($B46,'01_UngVien_PhongVan'!$B:$B,0))),""))</f>
      </c>
      <c r="U46" s="73">
        <f t="array" ref="U46">IF($B46="","",IFERROR(IF(INDEX('01_UngVien_PhongVan'!$C:$C,MATCH($B46,'01_UngVien_PhongVan'!$B:$B,0))=0,"",INDEX('01_UngVien_PhongVan'!$C:$C,MATCH($B46,'01_UngVien_PhongVan'!$B:$B,0))),""))</f>
      </c>
      <c r="V46" s="73">
        <f t="array" ref="V46">IF($B46="","",IFERROR(IF(INDEX('02_DS_Nhan_Viec'!$D:$D,MATCH($B46,'02_DS_Nhan_Viec'!$B:$B,0))=0,"",INDEX('02_DS_Nhan_Viec'!$D:$D,MATCH($B46,'02_DS_Nhan_Viec'!$B:$B,0))),""))</f>
      </c>
      <c r="W46" s="73">
        <f t="array" ref="W46">IF($B46="","",IFERROR(IF(INDEX('02_DS_Nhan_Viec'!$E:$E,MATCH($B46,'02_DS_Nhan_Viec'!$B:$B,0))=0,"",INDEX('02_DS_Nhan_Viec'!$E:$E,MATCH($B46,'02_DS_Nhan_Viec'!$B:$B,0))),""))</f>
      </c>
      <c r="X46" s="73">
        <f t="array" ref="X46">IF($C46="","",IFERROR(IF(INDEX('05_Theo_Doi_Gio_Cong_7_Ngay'!$P:$P,MATCH($C46,'05_Theo_Doi_Gio_Cong_7_Ngay'!$B:$B,0))=0,"",INDEX('05_Theo_Doi_Gio_Cong_7_Ngay'!$P:$P,MATCH($C46,'05_Theo_Doi_Gio_Cong_7_Ngay'!$B:$B,0))),""))</f>
      </c>
      <c r="Y46" s="60">
        <f t="array" ref="Y46">IF($C46="","",IFERROR(IF(INDEX('05_Theo_Doi_Gio_Cong_7_Ngay'!$M:$M,MATCH($C46,'05_Theo_Doi_Gio_Cong_7_Ngay'!$B:$B,0))=0,"",INDEX('05_Theo_Doi_Gio_Cong_7_Ngay'!$M:$M,MATCH($C46,'05_Theo_Doi_Gio_Cong_7_Ngay'!$B:$B,0))),""))</f>
      </c>
      <c r="Z46" s="60">
        <f t="array" ref="Z46">IF($C46="","",IFERROR(IF(INDEX('05_Theo_Doi_Gio_Cong_7_Ngay'!$Q:$Q,MATCH($C46,'05_Theo_Doi_Gio_Cong_7_Ngay'!$B:$B,0))=0,"",INDEX('05_Theo_Doi_Gio_Cong_7_Ngay'!$Q:$Q,MATCH($C46,'05_Theo_Doi_Gio_Cong_7_Ngay'!$B:$B,0))),""))</f>
      </c>
      <c r="AA46" s="60">
        <f t="array" ref="AA46">IF($B46="","",IFERROR(IF(INDEX('02_DS_Nhan_Viec'!$H:$H,MATCH($B46,'02_DS_Nhan_Viec'!$B:$B,0))=0,"",INDEX('02_DS_Nhan_Viec'!$H:$H,MATCH($B46,'02_DS_Nhan_Viec'!$B:$B,0))),""))</f>
      </c>
      <c r="AB46" s="60">
        <f t="array" ref="AB46">IF($B46="","",IFERROR(IF(INDEX('02_DS_Nhan_Viec'!$I:$I,MATCH($B46,'02_DS_Nhan_Viec'!$B:$B,0))=0,"",INDEX('02_DS_Nhan_Viec'!$I:$I,MATCH($B46,'02_DS_Nhan_Viec'!$B:$B,0))),""))</f>
      </c>
      <c r="AC46" s="61">
        <f t="array" ref="AC46">IF($B46="","",IF($C46="","Đang theo dõi",IF(OR(IFERROR(INDEX('05_Theo_Doi_Gio_Cong_7_Ngay'!$R:$R,MATCH($C46,'05_Theo_Doi_Gio_Cong_7_Ngay'!$B:$B,0)),"")="",IFERROR(INDEX('05_Theo_Doi_Gio_Cong_7_Ngay'!$R:$R,MATCH($C46,'05_Theo_Doi_Gio_Cong_7_Ngay'!$B:$B,0)),0)=0),"Đang theo dõi",IFERROR(INDEX('06_DS_Chinh_Thuc'!$K:$K,MATCH(IFERROR(INDEX('05_Theo_Doi_Gio_Cong_7_Ngay'!$R:$R,MATCH($C46,'05_Theo_Doi_Gio_Cong_7_Ngay'!$B:$B,0)),0),'06_DS_Chinh_Thuc'!$B:$B,0)),"Đang theo dõi"))))</f>
      </c>
    </row>
    <row r="47" ht="14.25" customHeight="1" spans="1:29" x14ac:dyDescent="0.25">
      <c r="A47" s="52">
        <f t="shared" si="0"/>
      </c>
      <c r="B47" s="52">
        <f t="array" ref="B47">IFERROR(INDEX('02_DS_Nhan_Viec'!$B:$B,MATCH(46,'02_DS_Nhan_Viec'!$M:$M,0)),"")</f>
      </c>
      <c r="C47" s="52">
        <f t="array" ref="C47">IF($B47="","",IFERROR(IF(INDEX('02_DS_Nhan_Viec'!$J:$J,MATCH($B47,'02_DS_Nhan_Viec'!$B:$B,0))=0,"",INDEX('02_DS_Nhan_Viec'!$J:$J,MATCH($B47,'02_DS_Nhan_Viec'!$B:$B,0))),""))</f>
      </c>
      <c r="D47" s="52">
        <f t="array" ref="D47">IF($C47="","",IFERROR(IF(INDEX('05_Theo_Doi_Gio_Cong_7_Ngay'!$R:$R,MATCH($C47,'05_Theo_Doi_Gio_Cong_7_Ngay'!$B:$B,0))=0,"",INDEX('05_Theo_Doi_Gio_Cong_7_Ngay'!$R:$R,MATCH($C47,'05_Theo_Doi_Gio_Cong_7_Ngay'!$B:$B,0))),""))</f>
      </c>
      <c r="E47" s="60">
        <f t="array" ref="E47">IF($B47="","",IFERROR(IF(INDEX('01_UngVien_PhongVan'!$D:$D,MATCH($B47,'01_UngVien_PhongVan'!$B:$B,0))=0,"",INDEX('01_UngVien_PhongVan'!$D:$D,MATCH($B47,'01_UngVien_PhongVan'!$B:$B,0))),""))</f>
      </c>
      <c r="F47" s="52">
        <f t="array" ref="F47">IF($B47="","",IFERROR(IF(INDEX('01_UngVien_PhongVan'!$F:$F,MATCH($B47,'01_UngVien_PhongVan'!$B:$B,0))=0,"",INDEX('01_UngVien_PhongVan'!$F:$F,MATCH($B47,'01_UngVien_PhongVan'!$B:$B,0))),""))</f>
      </c>
      <c r="G47" s="72">
        <f t="array" ref="G47">IF($B47="","",IFERROR(IF(INDEX('01_UngVien_PhongVan'!$G:$G,MATCH($B47,'01_UngVien_PhongVan'!$B:$B,0))=0,"",INDEX('01_UngVien_PhongVan'!$G:$G,MATCH($B47,'01_UngVien_PhongVan'!$B:$B,0))),""))</f>
      </c>
      <c r="H47" s="52">
        <f t="array" ref="H47">IF($B47="","",IFERROR(IF(INDEX('01_UngVien_PhongVan'!$H:$H,MATCH($B47,'01_UngVien_PhongVan'!$B:$B,0))=0,"",INDEX('01_UngVien_PhongVan'!$H:$H,MATCH($B47,'01_UngVien_PhongVan'!$B:$B,0))),""))</f>
      </c>
      <c r="I47" s="60">
        <f t="array" ref="I47">IF($B47="","",IFERROR(IF(INDEX('01_UngVien_PhongVan'!$I:$I,MATCH($B47,'01_UngVien_PhongVan'!$B:$B,0))=0,"",INDEX('01_UngVien_PhongVan'!$I:$I,MATCH($B47,'01_UngVien_PhongVan'!$B:$B,0))),""))</f>
      </c>
      <c r="J47" s="60">
        <f t="array" ref="J47">IF($B47="","",IFERROR(IF(INDEX('01_UngVien_PhongVan'!$J:$J,MATCH($B47,'01_UngVien_PhongVan'!$B:$B,0))=0,"",INDEX('01_UngVien_PhongVan'!$J:$J,MATCH($B47,'01_UngVien_PhongVan'!$B:$B,0))),""))</f>
      </c>
      <c r="K47" s="73">
        <f t="array" ref="K47">IF($B47="","",IFERROR(IF(INDEX('01_UngVien_PhongVan'!$K:$K,MATCH($B47,'01_UngVien_PhongVan'!$B:$B,0))=0,"",INDEX('01_UngVien_PhongVan'!$K:$K,MATCH($B47,'01_UngVien_PhongVan'!$B:$B,0))),""))</f>
      </c>
      <c r="L47" s="60">
        <f t="array" ref="L47">IF($B47="","",IFERROR(IF(INDEX('01_UngVien_PhongVan'!$L:$L,MATCH($B47,'01_UngVien_PhongVan'!$B:$B,0))=0,"",INDEX('01_UngVien_PhongVan'!$L:$L,MATCH($B47,'01_UngVien_PhongVan'!$B:$B,0))),""))</f>
      </c>
      <c r="M47" s="60">
        <f t="array" ref="M47">IF($B47="","",IFERROR(IF(INDEX('01_UngVien_PhongVan'!$E:$E,MATCH($B47,'01_UngVien_PhongVan'!$B:$B,0))=0,"",INDEX('01_UngVien_PhongVan'!$E:$E,MATCH($B47,'01_UngVien_PhongVan'!$B:$B,0))),""))</f>
      </c>
      <c r="N47" s="60">
        <f t="array" ref="N47">IF($B47="","",IFERROR(IF(INDEX('01_UngVien_PhongVan'!$M:$M,MATCH($B47,'01_UngVien_PhongVan'!$B:$B,0))=0,"",INDEX('01_UngVien_PhongVan'!$M:$M,MATCH($B47,'01_UngVien_PhongVan'!$B:$B,0))),""))</f>
      </c>
      <c r="O47" s="60">
        <f t="array" ref="O47">IF($B47="","",IFERROR(IF(INDEX('01_UngVien_PhongVan'!$N:$N,MATCH($B47,'01_UngVien_PhongVan'!$B:$B,0))=0,"",INDEX('01_UngVien_PhongVan'!$N:$N,MATCH($B47,'01_UngVien_PhongVan'!$B:$B,0))),""))</f>
      </c>
      <c r="P47" s="60">
        <f t="array" ref="P47">IF($B47="","",IFERROR(IF(INDEX('01_UngVien_PhongVan'!$O:$O,MATCH($B47,'01_UngVien_PhongVan'!$B:$B,0))=0,"",INDEX('01_UngVien_PhongVan'!$O:$O,MATCH($B47,'01_UngVien_PhongVan'!$B:$B,0))),""))</f>
      </c>
      <c r="Q47" s="60">
        <f t="array" ref="Q47">IF($B47="","",IFERROR(IF(INDEX('01_UngVien_PhongVan'!$P:$P,MATCH($B47,'01_UngVien_PhongVan'!$B:$B,0))=0,"",INDEX('01_UngVien_PhongVan'!$P:$P,MATCH($B47,'01_UngVien_PhongVan'!$B:$B,0))),""))</f>
      </c>
      <c r="R47" s="60">
        <f t="array" ref="R47">IF($B47="","",IFERROR(IF(INDEX('01_UngVien_PhongVan'!$Q:$Q,MATCH($B47,'01_UngVien_PhongVan'!$B:$B,0))=0,"",INDEX('01_UngVien_PhongVan'!$Q:$Q,MATCH($B47,'01_UngVien_PhongVan'!$B:$B,0))),""))</f>
      </c>
      <c r="S47" s="60">
        <f t="array" ref="S47">IF($B47="","",IFERROR(IF(INDEX('01_UngVien_PhongVan'!$R:$R,MATCH($B47,'01_UngVien_PhongVan'!$B:$B,0))=0,"",INDEX('01_UngVien_PhongVan'!$R:$R,MATCH($B47,'01_UngVien_PhongVan'!$B:$B,0))),""))</f>
      </c>
      <c r="T47" s="60">
        <f t="array" ref="T47">IF($B47="","",IFERROR(IF(INDEX('01_UngVien_PhongVan'!$U:$U,MATCH($B47,'01_UngVien_PhongVan'!$B:$B,0))=0,"",INDEX('01_UngVien_PhongVan'!$U:$U,MATCH($B47,'01_UngVien_PhongVan'!$B:$B,0))),""))</f>
      </c>
      <c r="U47" s="73">
        <f t="array" ref="U47">IF($B47="","",IFERROR(IF(INDEX('01_UngVien_PhongVan'!$C:$C,MATCH($B47,'01_UngVien_PhongVan'!$B:$B,0))=0,"",INDEX('01_UngVien_PhongVan'!$C:$C,MATCH($B47,'01_UngVien_PhongVan'!$B:$B,0))),""))</f>
      </c>
      <c r="V47" s="73">
        <f t="array" ref="V47">IF($B47="","",IFERROR(IF(INDEX('02_DS_Nhan_Viec'!$D:$D,MATCH($B47,'02_DS_Nhan_Viec'!$B:$B,0))=0,"",INDEX('02_DS_Nhan_Viec'!$D:$D,MATCH($B47,'02_DS_Nhan_Viec'!$B:$B,0))),""))</f>
      </c>
      <c r="W47" s="73">
        <f t="array" ref="W47">IF($B47="","",IFERROR(IF(INDEX('02_DS_Nhan_Viec'!$E:$E,MATCH($B47,'02_DS_Nhan_Viec'!$B:$B,0))=0,"",INDEX('02_DS_Nhan_Viec'!$E:$E,MATCH($B47,'02_DS_Nhan_Viec'!$B:$B,0))),""))</f>
      </c>
      <c r="X47" s="73">
        <f t="array" ref="X47">IF($C47="","",IFERROR(IF(INDEX('05_Theo_Doi_Gio_Cong_7_Ngay'!$P:$P,MATCH($C47,'05_Theo_Doi_Gio_Cong_7_Ngay'!$B:$B,0))=0,"",INDEX('05_Theo_Doi_Gio_Cong_7_Ngay'!$P:$P,MATCH($C47,'05_Theo_Doi_Gio_Cong_7_Ngay'!$B:$B,0))),""))</f>
      </c>
      <c r="Y47" s="60">
        <f t="array" ref="Y47">IF($C47="","",IFERROR(IF(INDEX('05_Theo_Doi_Gio_Cong_7_Ngay'!$M:$M,MATCH($C47,'05_Theo_Doi_Gio_Cong_7_Ngay'!$B:$B,0))=0,"",INDEX('05_Theo_Doi_Gio_Cong_7_Ngay'!$M:$M,MATCH($C47,'05_Theo_Doi_Gio_Cong_7_Ngay'!$B:$B,0))),""))</f>
      </c>
      <c r="Z47" s="60">
        <f t="array" ref="Z47">IF($C47="","",IFERROR(IF(INDEX('05_Theo_Doi_Gio_Cong_7_Ngay'!$Q:$Q,MATCH($C47,'05_Theo_Doi_Gio_Cong_7_Ngay'!$B:$B,0))=0,"",INDEX('05_Theo_Doi_Gio_Cong_7_Ngay'!$Q:$Q,MATCH($C47,'05_Theo_Doi_Gio_Cong_7_Ngay'!$B:$B,0))),""))</f>
      </c>
      <c r="AA47" s="60">
        <f t="array" ref="AA47">IF($B47="","",IFERROR(IF(INDEX('02_DS_Nhan_Viec'!$H:$H,MATCH($B47,'02_DS_Nhan_Viec'!$B:$B,0))=0,"",INDEX('02_DS_Nhan_Viec'!$H:$H,MATCH($B47,'02_DS_Nhan_Viec'!$B:$B,0))),""))</f>
      </c>
      <c r="AB47" s="60">
        <f t="array" ref="AB47">IF($B47="","",IFERROR(IF(INDEX('02_DS_Nhan_Viec'!$I:$I,MATCH($B47,'02_DS_Nhan_Viec'!$B:$B,0))=0,"",INDEX('02_DS_Nhan_Viec'!$I:$I,MATCH($B47,'02_DS_Nhan_Viec'!$B:$B,0))),""))</f>
      </c>
      <c r="AC47" s="61">
        <f t="array" ref="AC47">IF($B47="","",IF($C47="","Đang theo dõi",IF(OR(IFERROR(INDEX('05_Theo_Doi_Gio_Cong_7_Ngay'!$R:$R,MATCH($C47,'05_Theo_Doi_Gio_Cong_7_Ngay'!$B:$B,0)),"")="",IFERROR(INDEX('05_Theo_Doi_Gio_Cong_7_Ngay'!$R:$R,MATCH($C47,'05_Theo_Doi_Gio_Cong_7_Ngay'!$B:$B,0)),0)=0),"Đang theo dõi",IFERROR(INDEX('06_DS_Chinh_Thuc'!$K:$K,MATCH(IFERROR(INDEX('05_Theo_Doi_Gio_Cong_7_Ngay'!$R:$R,MATCH($C47,'05_Theo_Doi_Gio_Cong_7_Ngay'!$B:$B,0)),0),'06_DS_Chinh_Thuc'!$B:$B,0)),"Đang theo dõi"))))</f>
      </c>
    </row>
    <row r="48" ht="14.25" customHeight="1" spans="1:29" x14ac:dyDescent="0.25">
      <c r="A48" s="52">
        <f t="shared" si="0"/>
      </c>
      <c r="B48" s="52">
        <f t="array" ref="B48">IFERROR(INDEX('02_DS_Nhan_Viec'!$B:$B,MATCH(47,'02_DS_Nhan_Viec'!$M:$M,0)),"")</f>
      </c>
      <c r="C48" s="52">
        <f t="array" ref="C48">IF($B48="","",IFERROR(IF(INDEX('02_DS_Nhan_Viec'!$J:$J,MATCH($B48,'02_DS_Nhan_Viec'!$B:$B,0))=0,"",INDEX('02_DS_Nhan_Viec'!$J:$J,MATCH($B48,'02_DS_Nhan_Viec'!$B:$B,0))),""))</f>
      </c>
      <c r="D48" s="52">
        <f t="array" ref="D48">IF($C48="","",IFERROR(IF(INDEX('05_Theo_Doi_Gio_Cong_7_Ngay'!$R:$R,MATCH($C48,'05_Theo_Doi_Gio_Cong_7_Ngay'!$B:$B,0))=0,"",INDEX('05_Theo_Doi_Gio_Cong_7_Ngay'!$R:$R,MATCH($C48,'05_Theo_Doi_Gio_Cong_7_Ngay'!$B:$B,0))),""))</f>
      </c>
      <c r="E48" s="60">
        <f t="array" ref="E48">IF($B48="","",IFERROR(IF(INDEX('01_UngVien_PhongVan'!$D:$D,MATCH($B48,'01_UngVien_PhongVan'!$B:$B,0))=0,"",INDEX('01_UngVien_PhongVan'!$D:$D,MATCH($B48,'01_UngVien_PhongVan'!$B:$B,0))),""))</f>
      </c>
      <c r="F48" s="52">
        <f t="array" ref="F48">IF($B48="","",IFERROR(IF(INDEX('01_UngVien_PhongVan'!$F:$F,MATCH($B48,'01_UngVien_PhongVan'!$B:$B,0))=0,"",INDEX('01_UngVien_PhongVan'!$F:$F,MATCH($B48,'01_UngVien_PhongVan'!$B:$B,0))),""))</f>
      </c>
      <c r="G48" s="72">
        <f t="array" ref="G48">IF($B48="","",IFERROR(IF(INDEX('01_UngVien_PhongVan'!$G:$G,MATCH($B48,'01_UngVien_PhongVan'!$B:$B,0))=0,"",INDEX('01_UngVien_PhongVan'!$G:$G,MATCH($B48,'01_UngVien_PhongVan'!$B:$B,0))),""))</f>
      </c>
      <c r="H48" s="52">
        <f t="array" ref="H48">IF($B48="","",IFERROR(IF(INDEX('01_UngVien_PhongVan'!$H:$H,MATCH($B48,'01_UngVien_PhongVan'!$B:$B,0))=0,"",INDEX('01_UngVien_PhongVan'!$H:$H,MATCH($B48,'01_UngVien_PhongVan'!$B:$B,0))),""))</f>
      </c>
      <c r="I48" s="60">
        <f t="array" ref="I48">IF($B48="","",IFERROR(IF(INDEX('01_UngVien_PhongVan'!$I:$I,MATCH($B48,'01_UngVien_PhongVan'!$B:$B,0))=0,"",INDEX('01_UngVien_PhongVan'!$I:$I,MATCH($B48,'01_UngVien_PhongVan'!$B:$B,0))),""))</f>
      </c>
      <c r="J48" s="60">
        <f t="array" ref="J48">IF($B48="","",IFERROR(IF(INDEX('01_UngVien_PhongVan'!$J:$J,MATCH($B48,'01_UngVien_PhongVan'!$B:$B,0))=0,"",INDEX('01_UngVien_PhongVan'!$J:$J,MATCH($B48,'01_UngVien_PhongVan'!$B:$B,0))),""))</f>
      </c>
      <c r="K48" s="73">
        <f t="array" ref="K48">IF($B48="","",IFERROR(IF(INDEX('01_UngVien_PhongVan'!$K:$K,MATCH($B48,'01_UngVien_PhongVan'!$B:$B,0))=0,"",INDEX('01_UngVien_PhongVan'!$K:$K,MATCH($B48,'01_UngVien_PhongVan'!$B:$B,0))),""))</f>
      </c>
      <c r="L48" s="60">
        <f t="array" ref="L48">IF($B48="","",IFERROR(IF(INDEX('01_UngVien_PhongVan'!$L:$L,MATCH($B48,'01_UngVien_PhongVan'!$B:$B,0))=0,"",INDEX('01_UngVien_PhongVan'!$L:$L,MATCH($B48,'01_UngVien_PhongVan'!$B:$B,0))),""))</f>
      </c>
      <c r="M48" s="60">
        <f t="array" ref="M48">IF($B48="","",IFERROR(IF(INDEX('01_UngVien_PhongVan'!$E:$E,MATCH($B48,'01_UngVien_PhongVan'!$B:$B,0))=0,"",INDEX('01_UngVien_PhongVan'!$E:$E,MATCH($B48,'01_UngVien_PhongVan'!$B:$B,0))),""))</f>
      </c>
      <c r="N48" s="60">
        <f t="array" ref="N48">IF($B48="","",IFERROR(IF(INDEX('01_UngVien_PhongVan'!$M:$M,MATCH($B48,'01_UngVien_PhongVan'!$B:$B,0))=0,"",INDEX('01_UngVien_PhongVan'!$M:$M,MATCH($B48,'01_UngVien_PhongVan'!$B:$B,0))),""))</f>
      </c>
      <c r="O48" s="60">
        <f t="array" ref="O48">IF($B48="","",IFERROR(IF(INDEX('01_UngVien_PhongVan'!$N:$N,MATCH($B48,'01_UngVien_PhongVan'!$B:$B,0))=0,"",INDEX('01_UngVien_PhongVan'!$N:$N,MATCH($B48,'01_UngVien_PhongVan'!$B:$B,0))),""))</f>
      </c>
      <c r="P48" s="60">
        <f t="array" ref="P48">IF($B48="","",IFERROR(IF(INDEX('01_UngVien_PhongVan'!$O:$O,MATCH($B48,'01_UngVien_PhongVan'!$B:$B,0))=0,"",INDEX('01_UngVien_PhongVan'!$O:$O,MATCH($B48,'01_UngVien_PhongVan'!$B:$B,0))),""))</f>
      </c>
      <c r="Q48" s="60">
        <f t="array" ref="Q48">IF($B48="","",IFERROR(IF(INDEX('01_UngVien_PhongVan'!$P:$P,MATCH($B48,'01_UngVien_PhongVan'!$B:$B,0))=0,"",INDEX('01_UngVien_PhongVan'!$P:$P,MATCH($B48,'01_UngVien_PhongVan'!$B:$B,0))),""))</f>
      </c>
      <c r="R48" s="60">
        <f t="array" ref="R48">IF($B48="","",IFERROR(IF(INDEX('01_UngVien_PhongVan'!$Q:$Q,MATCH($B48,'01_UngVien_PhongVan'!$B:$B,0))=0,"",INDEX('01_UngVien_PhongVan'!$Q:$Q,MATCH($B48,'01_UngVien_PhongVan'!$B:$B,0))),""))</f>
      </c>
      <c r="S48" s="60">
        <f t="array" ref="S48">IF($B48="","",IFERROR(IF(INDEX('01_UngVien_PhongVan'!$R:$R,MATCH($B48,'01_UngVien_PhongVan'!$B:$B,0))=0,"",INDEX('01_UngVien_PhongVan'!$R:$R,MATCH($B48,'01_UngVien_PhongVan'!$B:$B,0))),""))</f>
      </c>
      <c r="T48" s="60">
        <f t="array" ref="T48">IF($B48="","",IFERROR(IF(INDEX('01_UngVien_PhongVan'!$U:$U,MATCH($B48,'01_UngVien_PhongVan'!$B:$B,0))=0,"",INDEX('01_UngVien_PhongVan'!$U:$U,MATCH($B48,'01_UngVien_PhongVan'!$B:$B,0))),""))</f>
      </c>
      <c r="U48" s="73">
        <f t="array" ref="U48">IF($B48="","",IFERROR(IF(INDEX('01_UngVien_PhongVan'!$C:$C,MATCH($B48,'01_UngVien_PhongVan'!$B:$B,0))=0,"",INDEX('01_UngVien_PhongVan'!$C:$C,MATCH($B48,'01_UngVien_PhongVan'!$B:$B,0))),""))</f>
      </c>
      <c r="V48" s="73">
        <f t="array" ref="V48">IF($B48="","",IFERROR(IF(INDEX('02_DS_Nhan_Viec'!$D:$D,MATCH($B48,'02_DS_Nhan_Viec'!$B:$B,0))=0,"",INDEX('02_DS_Nhan_Viec'!$D:$D,MATCH($B48,'02_DS_Nhan_Viec'!$B:$B,0))),""))</f>
      </c>
      <c r="W48" s="73">
        <f t="array" ref="W48">IF($B48="","",IFERROR(IF(INDEX('02_DS_Nhan_Viec'!$E:$E,MATCH($B48,'02_DS_Nhan_Viec'!$B:$B,0))=0,"",INDEX('02_DS_Nhan_Viec'!$E:$E,MATCH($B48,'02_DS_Nhan_Viec'!$B:$B,0))),""))</f>
      </c>
      <c r="X48" s="73">
        <f t="array" ref="X48">IF($C48="","",IFERROR(IF(INDEX('05_Theo_Doi_Gio_Cong_7_Ngay'!$P:$P,MATCH($C48,'05_Theo_Doi_Gio_Cong_7_Ngay'!$B:$B,0))=0,"",INDEX('05_Theo_Doi_Gio_Cong_7_Ngay'!$P:$P,MATCH($C48,'05_Theo_Doi_Gio_Cong_7_Ngay'!$B:$B,0))),""))</f>
      </c>
      <c r="Y48" s="60">
        <f t="array" ref="Y48">IF($C48="","",IFERROR(IF(INDEX('05_Theo_Doi_Gio_Cong_7_Ngay'!$M:$M,MATCH($C48,'05_Theo_Doi_Gio_Cong_7_Ngay'!$B:$B,0))=0,"",INDEX('05_Theo_Doi_Gio_Cong_7_Ngay'!$M:$M,MATCH($C48,'05_Theo_Doi_Gio_Cong_7_Ngay'!$B:$B,0))),""))</f>
      </c>
      <c r="Z48" s="60">
        <f t="array" ref="Z48">IF($C48="","",IFERROR(IF(INDEX('05_Theo_Doi_Gio_Cong_7_Ngay'!$Q:$Q,MATCH($C48,'05_Theo_Doi_Gio_Cong_7_Ngay'!$B:$B,0))=0,"",INDEX('05_Theo_Doi_Gio_Cong_7_Ngay'!$Q:$Q,MATCH($C48,'05_Theo_Doi_Gio_Cong_7_Ngay'!$B:$B,0))),""))</f>
      </c>
      <c r="AA48" s="60">
        <f t="array" ref="AA48">IF($B48="","",IFERROR(IF(INDEX('02_DS_Nhan_Viec'!$H:$H,MATCH($B48,'02_DS_Nhan_Viec'!$B:$B,0))=0,"",INDEX('02_DS_Nhan_Viec'!$H:$H,MATCH($B48,'02_DS_Nhan_Viec'!$B:$B,0))),""))</f>
      </c>
      <c r="AB48" s="60">
        <f t="array" ref="AB48">IF($B48="","",IFERROR(IF(INDEX('02_DS_Nhan_Viec'!$I:$I,MATCH($B48,'02_DS_Nhan_Viec'!$B:$B,0))=0,"",INDEX('02_DS_Nhan_Viec'!$I:$I,MATCH($B48,'02_DS_Nhan_Viec'!$B:$B,0))),""))</f>
      </c>
      <c r="AC48" s="61">
        <f t="array" ref="AC48">IF($B48="","",IF($C48="","Đang theo dõi",IF(OR(IFERROR(INDEX('05_Theo_Doi_Gio_Cong_7_Ngay'!$R:$R,MATCH($C48,'05_Theo_Doi_Gio_Cong_7_Ngay'!$B:$B,0)),"")="",IFERROR(INDEX('05_Theo_Doi_Gio_Cong_7_Ngay'!$R:$R,MATCH($C48,'05_Theo_Doi_Gio_Cong_7_Ngay'!$B:$B,0)),0)=0),"Đang theo dõi",IFERROR(INDEX('06_DS_Chinh_Thuc'!$K:$K,MATCH(IFERROR(INDEX('05_Theo_Doi_Gio_Cong_7_Ngay'!$R:$R,MATCH($C48,'05_Theo_Doi_Gio_Cong_7_Ngay'!$B:$B,0)),0),'06_DS_Chinh_Thuc'!$B:$B,0)),"Đang theo dõi"))))</f>
      </c>
    </row>
    <row r="49" ht="14.25" customHeight="1" spans="1:29" x14ac:dyDescent="0.25">
      <c r="A49" s="52">
        <f t="shared" si="0"/>
      </c>
      <c r="B49" s="52">
        <f t="array" ref="B49">IFERROR(INDEX('02_DS_Nhan_Viec'!$B:$B,MATCH(48,'02_DS_Nhan_Viec'!$M:$M,0)),"")</f>
      </c>
      <c r="C49" s="52">
        <f t="array" ref="C49">IF($B49="","",IFERROR(IF(INDEX('02_DS_Nhan_Viec'!$J:$J,MATCH($B49,'02_DS_Nhan_Viec'!$B:$B,0))=0,"",INDEX('02_DS_Nhan_Viec'!$J:$J,MATCH($B49,'02_DS_Nhan_Viec'!$B:$B,0))),""))</f>
      </c>
      <c r="D49" s="52">
        <f t="array" ref="D49">IF($C49="","",IFERROR(IF(INDEX('05_Theo_Doi_Gio_Cong_7_Ngay'!$R:$R,MATCH($C49,'05_Theo_Doi_Gio_Cong_7_Ngay'!$B:$B,0))=0,"",INDEX('05_Theo_Doi_Gio_Cong_7_Ngay'!$R:$R,MATCH($C49,'05_Theo_Doi_Gio_Cong_7_Ngay'!$B:$B,0))),""))</f>
      </c>
      <c r="E49" s="60">
        <f t="array" ref="E49">IF($B49="","",IFERROR(IF(INDEX('01_UngVien_PhongVan'!$D:$D,MATCH($B49,'01_UngVien_PhongVan'!$B:$B,0))=0,"",INDEX('01_UngVien_PhongVan'!$D:$D,MATCH($B49,'01_UngVien_PhongVan'!$B:$B,0))),""))</f>
      </c>
      <c r="F49" s="52">
        <f t="array" ref="F49">IF($B49="","",IFERROR(IF(INDEX('01_UngVien_PhongVan'!$F:$F,MATCH($B49,'01_UngVien_PhongVan'!$B:$B,0))=0,"",INDEX('01_UngVien_PhongVan'!$F:$F,MATCH($B49,'01_UngVien_PhongVan'!$B:$B,0))),""))</f>
      </c>
      <c r="G49" s="72">
        <f t="array" ref="G49">IF($B49="","",IFERROR(IF(INDEX('01_UngVien_PhongVan'!$G:$G,MATCH($B49,'01_UngVien_PhongVan'!$B:$B,0))=0,"",INDEX('01_UngVien_PhongVan'!$G:$G,MATCH($B49,'01_UngVien_PhongVan'!$B:$B,0))),""))</f>
      </c>
      <c r="H49" s="52">
        <f t="array" ref="H49">IF($B49="","",IFERROR(IF(INDEX('01_UngVien_PhongVan'!$H:$H,MATCH($B49,'01_UngVien_PhongVan'!$B:$B,0))=0,"",INDEX('01_UngVien_PhongVan'!$H:$H,MATCH($B49,'01_UngVien_PhongVan'!$B:$B,0))),""))</f>
      </c>
      <c r="I49" s="60">
        <f t="array" ref="I49">IF($B49="","",IFERROR(IF(INDEX('01_UngVien_PhongVan'!$I:$I,MATCH($B49,'01_UngVien_PhongVan'!$B:$B,0))=0,"",INDEX('01_UngVien_PhongVan'!$I:$I,MATCH($B49,'01_UngVien_PhongVan'!$B:$B,0))),""))</f>
      </c>
      <c r="J49" s="60">
        <f t="array" ref="J49">IF($B49="","",IFERROR(IF(INDEX('01_UngVien_PhongVan'!$J:$J,MATCH($B49,'01_UngVien_PhongVan'!$B:$B,0))=0,"",INDEX('01_UngVien_PhongVan'!$J:$J,MATCH($B49,'01_UngVien_PhongVan'!$B:$B,0))),""))</f>
      </c>
      <c r="K49" s="73">
        <f t="array" ref="K49">IF($B49="","",IFERROR(IF(INDEX('01_UngVien_PhongVan'!$K:$K,MATCH($B49,'01_UngVien_PhongVan'!$B:$B,0))=0,"",INDEX('01_UngVien_PhongVan'!$K:$K,MATCH($B49,'01_UngVien_PhongVan'!$B:$B,0))),""))</f>
      </c>
      <c r="L49" s="60">
        <f t="array" ref="L49">IF($B49="","",IFERROR(IF(INDEX('01_UngVien_PhongVan'!$L:$L,MATCH($B49,'01_UngVien_PhongVan'!$B:$B,0))=0,"",INDEX('01_UngVien_PhongVan'!$L:$L,MATCH($B49,'01_UngVien_PhongVan'!$B:$B,0))),""))</f>
      </c>
      <c r="M49" s="60">
        <f t="array" ref="M49">IF($B49="","",IFERROR(IF(INDEX('01_UngVien_PhongVan'!$E:$E,MATCH($B49,'01_UngVien_PhongVan'!$B:$B,0))=0,"",INDEX('01_UngVien_PhongVan'!$E:$E,MATCH($B49,'01_UngVien_PhongVan'!$B:$B,0))),""))</f>
      </c>
      <c r="N49" s="60">
        <f t="array" ref="N49">IF($B49="","",IFERROR(IF(INDEX('01_UngVien_PhongVan'!$M:$M,MATCH($B49,'01_UngVien_PhongVan'!$B:$B,0))=0,"",INDEX('01_UngVien_PhongVan'!$M:$M,MATCH($B49,'01_UngVien_PhongVan'!$B:$B,0))),""))</f>
      </c>
      <c r="O49" s="60">
        <f t="array" ref="O49">IF($B49="","",IFERROR(IF(INDEX('01_UngVien_PhongVan'!$N:$N,MATCH($B49,'01_UngVien_PhongVan'!$B:$B,0))=0,"",INDEX('01_UngVien_PhongVan'!$N:$N,MATCH($B49,'01_UngVien_PhongVan'!$B:$B,0))),""))</f>
      </c>
      <c r="P49" s="60">
        <f t="array" ref="P49">IF($B49="","",IFERROR(IF(INDEX('01_UngVien_PhongVan'!$O:$O,MATCH($B49,'01_UngVien_PhongVan'!$B:$B,0))=0,"",INDEX('01_UngVien_PhongVan'!$O:$O,MATCH($B49,'01_UngVien_PhongVan'!$B:$B,0))),""))</f>
      </c>
      <c r="Q49" s="60">
        <f t="array" ref="Q49">IF($B49="","",IFERROR(IF(INDEX('01_UngVien_PhongVan'!$P:$P,MATCH($B49,'01_UngVien_PhongVan'!$B:$B,0))=0,"",INDEX('01_UngVien_PhongVan'!$P:$P,MATCH($B49,'01_UngVien_PhongVan'!$B:$B,0))),""))</f>
      </c>
      <c r="R49" s="60">
        <f t="array" ref="R49">IF($B49="","",IFERROR(IF(INDEX('01_UngVien_PhongVan'!$Q:$Q,MATCH($B49,'01_UngVien_PhongVan'!$B:$B,0))=0,"",INDEX('01_UngVien_PhongVan'!$Q:$Q,MATCH($B49,'01_UngVien_PhongVan'!$B:$B,0))),""))</f>
      </c>
      <c r="S49" s="60">
        <f t="array" ref="S49">IF($B49="","",IFERROR(IF(INDEX('01_UngVien_PhongVan'!$R:$R,MATCH($B49,'01_UngVien_PhongVan'!$B:$B,0))=0,"",INDEX('01_UngVien_PhongVan'!$R:$R,MATCH($B49,'01_UngVien_PhongVan'!$B:$B,0))),""))</f>
      </c>
      <c r="T49" s="60">
        <f t="array" ref="T49">IF($B49="","",IFERROR(IF(INDEX('01_UngVien_PhongVan'!$U:$U,MATCH($B49,'01_UngVien_PhongVan'!$B:$B,0))=0,"",INDEX('01_UngVien_PhongVan'!$U:$U,MATCH($B49,'01_UngVien_PhongVan'!$B:$B,0))),""))</f>
      </c>
      <c r="U49" s="73">
        <f t="array" ref="U49">IF($B49="","",IFERROR(IF(INDEX('01_UngVien_PhongVan'!$C:$C,MATCH($B49,'01_UngVien_PhongVan'!$B:$B,0))=0,"",INDEX('01_UngVien_PhongVan'!$C:$C,MATCH($B49,'01_UngVien_PhongVan'!$B:$B,0))),""))</f>
      </c>
      <c r="V49" s="73">
        <f t="array" ref="V49">IF($B49="","",IFERROR(IF(INDEX('02_DS_Nhan_Viec'!$D:$D,MATCH($B49,'02_DS_Nhan_Viec'!$B:$B,0))=0,"",INDEX('02_DS_Nhan_Viec'!$D:$D,MATCH($B49,'02_DS_Nhan_Viec'!$B:$B,0))),""))</f>
      </c>
      <c r="W49" s="73">
        <f t="array" ref="W49">IF($B49="","",IFERROR(IF(INDEX('02_DS_Nhan_Viec'!$E:$E,MATCH($B49,'02_DS_Nhan_Viec'!$B:$B,0))=0,"",INDEX('02_DS_Nhan_Viec'!$E:$E,MATCH($B49,'02_DS_Nhan_Viec'!$B:$B,0))),""))</f>
      </c>
      <c r="X49" s="73">
        <f t="array" ref="X49">IF($C49="","",IFERROR(IF(INDEX('05_Theo_Doi_Gio_Cong_7_Ngay'!$P:$P,MATCH($C49,'05_Theo_Doi_Gio_Cong_7_Ngay'!$B:$B,0))=0,"",INDEX('05_Theo_Doi_Gio_Cong_7_Ngay'!$P:$P,MATCH($C49,'05_Theo_Doi_Gio_Cong_7_Ngay'!$B:$B,0))),""))</f>
      </c>
      <c r="Y49" s="60">
        <f t="array" ref="Y49">IF($C49="","",IFERROR(IF(INDEX('05_Theo_Doi_Gio_Cong_7_Ngay'!$M:$M,MATCH($C49,'05_Theo_Doi_Gio_Cong_7_Ngay'!$B:$B,0))=0,"",INDEX('05_Theo_Doi_Gio_Cong_7_Ngay'!$M:$M,MATCH($C49,'05_Theo_Doi_Gio_Cong_7_Ngay'!$B:$B,0))),""))</f>
      </c>
      <c r="Z49" s="60">
        <f t="array" ref="Z49">IF($C49="","",IFERROR(IF(INDEX('05_Theo_Doi_Gio_Cong_7_Ngay'!$Q:$Q,MATCH($C49,'05_Theo_Doi_Gio_Cong_7_Ngay'!$B:$B,0))=0,"",INDEX('05_Theo_Doi_Gio_Cong_7_Ngay'!$Q:$Q,MATCH($C49,'05_Theo_Doi_Gio_Cong_7_Ngay'!$B:$B,0))),""))</f>
      </c>
      <c r="AA49" s="60">
        <f t="array" ref="AA49">IF($B49="","",IFERROR(IF(INDEX('02_DS_Nhan_Viec'!$H:$H,MATCH($B49,'02_DS_Nhan_Viec'!$B:$B,0))=0,"",INDEX('02_DS_Nhan_Viec'!$H:$H,MATCH($B49,'02_DS_Nhan_Viec'!$B:$B,0))),""))</f>
      </c>
      <c r="AB49" s="60">
        <f t="array" ref="AB49">IF($B49="","",IFERROR(IF(INDEX('02_DS_Nhan_Viec'!$I:$I,MATCH($B49,'02_DS_Nhan_Viec'!$B:$B,0))=0,"",INDEX('02_DS_Nhan_Viec'!$I:$I,MATCH($B49,'02_DS_Nhan_Viec'!$B:$B,0))),""))</f>
      </c>
      <c r="AC49" s="61">
        <f t="array" ref="AC49">IF($B49="","",IF($C49="","Đang theo dõi",IF(OR(IFERROR(INDEX('05_Theo_Doi_Gio_Cong_7_Ngay'!$R:$R,MATCH($C49,'05_Theo_Doi_Gio_Cong_7_Ngay'!$B:$B,0)),"")="",IFERROR(INDEX('05_Theo_Doi_Gio_Cong_7_Ngay'!$R:$R,MATCH($C49,'05_Theo_Doi_Gio_Cong_7_Ngay'!$B:$B,0)),0)=0),"Đang theo dõi",IFERROR(INDEX('06_DS_Chinh_Thuc'!$K:$K,MATCH(IFERROR(INDEX('05_Theo_Doi_Gio_Cong_7_Ngay'!$R:$R,MATCH($C49,'05_Theo_Doi_Gio_Cong_7_Ngay'!$B:$B,0)),0),'06_DS_Chinh_Thuc'!$B:$B,0)),"Đang theo dõi"))))</f>
      </c>
    </row>
    <row r="50" ht="14.25" customHeight="1" spans="1:29" x14ac:dyDescent="0.25">
      <c r="A50" s="52">
        <f t="shared" si="0"/>
      </c>
      <c r="B50" s="52">
        <f t="array" ref="B50">IFERROR(INDEX('02_DS_Nhan_Viec'!$B:$B,MATCH(49,'02_DS_Nhan_Viec'!$M:$M,0)),"")</f>
      </c>
      <c r="C50" s="52">
        <f t="array" ref="C50">IF($B50="","",IFERROR(IF(INDEX('02_DS_Nhan_Viec'!$J:$J,MATCH($B50,'02_DS_Nhan_Viec'!$B:$B,0))=0,"",INDEX('02_DS_Nhan_Viec'!$J:$J,MATCH($B50,'02_DS_Nhan_Viec'!$B:$B,0))),""))</f>
      </c>
      <c r="D50" s="52">
        <f t="array" ref="D50">IF($C50="","",IFERROR(IF(INDEX('05_Theo_Doi_Gio_Cong_7_Ngay'!$R:$R,MATCH($C50,'05_Theo_Doi_Gio_Cong_7_Ngay'!$B:$B,0))=0,"",INDEX('05_Theo_Doi_Gio_Cong_7_Ngay'!$R:$R,MATCH($C50,'05_Theo_Doi_Gio_Cong_7_Ngay'!$B:$B,0))),""))</f>
      </c>
      <c r="E50" s="60">
        <f t="array" ref="E50">IF($B50="","",IFERROR(IF(INDEX('01_UngVien_PhongVan'!$D:$D,MATCH($B50,'01_UngVien_PhongVan'!$B:$B,0))=0,"",INDEX('01_UngVien_PhongVan'!$D:$D,MATCH($B50,'01_UngVien_PhongVan'!$B:$B,0))),""))</f>
      </c>
      <c r="F50" s="52">
        <f t="array" ref="F50">IF($B50="","",IFERROR(IF(INDEX('01_UngVien_PhongVan'!$F:$F,MATCH($B50,'01_UngVien_PhongVan'!$B:$B,0))=0,"",INDEX('01_UngVien_PhongVan'!$F:$F,MATCH($B50,'01_UngVien_PhongVan'!$B:$B,0))),""))</f>
      </c>
      <c r="G50" s="72">
        <f t="array" ref="G50">IF($B50="","",IFERROR(IF(INDEX('01_UngVien_PhongVan'!$G:$G,MATCH($B50,'01_UngVien_PhongVan'!$B:$B,0))=0,"",INDEX('01_UngVien_PhongVan'!$G:$G,MATCH($B50,'01_UngVien_PhongVan'!$B:$B,0))),""))</f>
      </c>
      <c r="H50" s="52">
        <f t="array" ref="H50">IF($B50="","",IFERROR(IF(INDEX('01_UngVien_PhongVan'!$H:$H,MATCH($B50,'01_UngVien_PhongVan'!$B:$B,0))=0,"",INDEX('01_UngVien_PhongVan'!$H:$H,MATCH($B50,'01_UngVien_PhongVan'!$B:$B,0))),""))</f>
      </c>
      <c r="I50" s="60">
        <f t="array" ref="I50">IF($B50="","",IFERROR(IF(INDEX('01_UngVien_PhongVan'!$I:$I,MATCH($B50,'01_UngVien_PhongVan'!$B:$B,0))=0,"",INDEX('01_UngVien_PhongVan'!$I:$I,MATCH($B50,'01_UngVien_PhongVan'!$B:$B,0))),""))</f>
      </c>
      <c r="J50" s="60">
        <f t="array" ref="J50">IF($B50="","",IFERROR(IF(INDEX('01_UngVien_PhongVan'!$J:$J,MATCH($B50,'01_UngVien_PhongVan'!$B:$B,0))=0,"",INDEX('01_UngVien_PhongVan'!$J:$J,MATCH($B50,'01_UngVien_PhongVan'!$B:$B,0))),""))</f>
      </c>
      <c r="K50" s="73">
        <f t="array" ref="K50">IF($B50="","",IFERROR(IF(INDEX('01_UngVien_PhongVan'!$K:$K,MATCH($B50,'01_UngVien_PhongVan'!$B:$B,0))=0,"",INDEX('01_UngVien_PhongVan'!$K:$K,MATCH($B50,'01_UngVien_PhongVan'!$B:$B,0))),""))</f>
      </c>
      <c r="L50" s="60">
        <f t="array" ref="L50">IF($B50="","",IFERROR(IF(INDEX('01_UngVien_PhongVan'!$L:$L,MATCH($B50,'01_UngVien_PhongVan'!$B:$B,0))=0,"",INDEX('01_UngVien_PhongVan'!$L:$L,MATCH($B50,'01_UngVien_PhongVan'!$B:$B,0))),""))</f>
      </c>
      <c r="M50" s="60">
        <f t="array" ref="M50">IF($B50="","",IFERROR(IF(INDEX('01_UngVien_PhongVan'!$E:$E,MATCH($B50,'01_UngVien_PhongVan'!$B:$B,0))=0,"",INDEX('01_UngVien_PhongVan'!$E:$E,MATCH($B50,'01_UngVien_PhongVan'!$B:$B,0))),""))</f>
      </c>
      <c r="N50" s="60">
        <f t="array" ref="N50">IF($B50="","",IFERROR(IF(INDEX('01_UngVien_PhongVan'!$M:$M,MATCH($B50,'01_UngVien_PhongVan'!$B:$B,0))=0,"",INDEX('01_UngVien_PhongVan'!$M:$M,MATCH($B50,'01_UngVien_PhongVan'!$B:$B,0))),""))</f>
      </c>
      <c r="O50" s="60">
        <f t="array" ref="O50">IF($B50="","",IFERROR(IF(INDEX('01_UngVien_PhongVan'!$N:$N,MATCH($B50,'01_UngVien_PhongVan'!$B:$B,0))=0,"",INDEX('01_UngVien_PhongVan'!$N:$N,MATCH($B50,'01_UngVien_PhongVan'!$B:$B,0))),""))</f>
      </c>
      <c r="P50" s="60">
        <f t="array" ref="P50">IF($B50="","",IFERROR(IF(INDEX('01_UngVien_PhongVan'!$O:$O,MATCH($B50,'01_UngVien_PhongVan'!$B:$B,0))=0,"",INDEX('01_UngVien_PhongVan'!$O:$O,MATCH($B50,'01_UngVien_PhongVan'!$B:$B,0))),""))</f>
      </c>
      <c r="Q50" s="60">
        <f t="array" ref="Q50">IF($B50="","",IFERROR(IF(INDEX('01_UngVien_PhongVan'!$P:$P,MATCH($B50,'01_UngVien_PhongVan'!$B:$B,0))=0,"",INDEX('01_UngVien_PhongVan'!$P:$P,MATCH($B50,'01_UngVien_PhongVan'!$B:$B,0))),""))</f>
      </c>
      <c r="R50" s="60">
        <f t="array" ref="R50">IF($B50="","",IFERROR(IF(INDEX('01_UngVien_PhongVan'!$Q:$Q,MATCH($B50,'01_UngVien_PhongVan'!$B:$B,0))=0,"",INDEX('01_UngVien_PhongVan'!$Q:$Q,MATCH($B50,'01_UngVien_PhongVan'!$B:$B,0))),""))</f>
      </c>
      <c r="S50" s="60">
        <f t="array" ref="S50">IF($B50="","",IFERROR(IF(INDEX('01_UngVien_PhongVan'!$R:$R,MATCH($B50,'01_UngVien_PhongVan'!$B:$B,0))=0,"",INDEX('01_UngVien_PhongVan'!$R:$R,MATCH($B50,'01_UngVien_PhongVan'!$B:$B,0))),""))</f>
      </c>
      <c r="T50" s="60">
        <f t="array" ref="T50">IF($B50="","",IFERROR(IF(INDEX('01_UngVien_PhongVan'!$U:$U,MATCH($B50,'01_UngVien_PhongVan'!$B:$B,0))=0,"",INDEX('01_UngVien_PhongVan'!$U:$U,MATCH($B50,'01_UngVien_PhongVan'!$B:$B,0))),""))</f>
      </c>
      <c r="U50" s="73">
        <f t="array" ref="U50">IF($B50="","",IFERROR(IF(INDEX('01_UngVien_PhongVan'!$C:$C,MATCH($B50,'01_UngVien_PhongVan'!$B:$B,0))=0,"",INDEX('01_UngVien_PhongVan'!$C:$C,MATCH($B50,'01_UngVien_PhongVan'!$B:$B,0))),""))</f>
      </c>
      <c r="V50" s="73">
        <f t="array" ref="V50">IF($B50="","",IFERROR(IF(INDEX('02_DS_Nhan_Viec'!$D:$D,MATCH($B50,'02_DS_Nhan_Viec'!$B:$B,0))=0,"",INDEX('02_DS_Nhan_Viec'!$D:$D,MATCH($B50,'02_DS_Nhan_Viec'!$B:$B,0))),""))</f>
      </c>
      <c r="W50" s="73">
        <f t="array" ref="W50">IF($B50="","",IFERROR(IF(INDEX('02_DS_Nhan_Viec'!$E:$E,MATCH($B50,'02_DS_Nhan_Viec'!$B:$B,0))=0,"",INDEX('02_DS_Nhan_Viec'!$E:$E,MATCH($B50,'02_DS_Nhan_Viec'!$B:$B,0))),""))</f>
      </c>
      <c r="X50" s="73">
        <f t="array" ref="X50">IF($C50="","",IFERROR(IF(INDEX('05_Theo_Doi_Gio_Cong_7_Ngay'!$P:$P,MATCH($C50,'05_Theo_Doi_Gio_Cong_7_Ngay'!$B:$B,0))=0,"",INDEX('05_Theo_Doi_Gio_Cong_7_Ngay'!$P:$P,MATCH($C50,'05_Theo_Doi_Gio_Cong_7_Ngay'!$B:$B,0))),""))</f>
      </c>
      <c r="Y50" s="60">
        <f t="array" ref="Y50">IF($C50="","",IFERROR(IF(INDEX('05_Theo_Doi_Gio_Cong_7_Ngay'!$M:$M,MATCH($C50,'05_Theo_Doi_Gio_Cong_7_Ngay'!$B:$B,0))=0,"",INDEX('05_Theo_Doi_Gio_Cong_7_Ngay'!$M:$M,MATCH($C50,'05_Theo_Doi_Gio_Cong_7_Ngay'!$B:$B,0))),""))</f>
      </c>
      <c r="Z50" s="60">
        <f t="array" ref="Z50">IF($C50="","",IFERROR(IF(INDEX('05_Theo_Doi_Gio_Cong_7_Ngay'!$Q:$Q,MATCH($C50,'05_Theo_Doi_Gio_Cong_7_Ngay'!$B:$B,0))=0,"",INDEX('05_Theo_Doi_Gio_Cong_7_Ngay'!$Q:$Q,MATCH($C50,'05_Theo_Doi_Gio_Cong_7_Ngay'!$B:$B,0))),""))</f>
      </c>
      <c r="AA50" s="60">
        <f t="array" ref="AA50">IF($B50="","",IFERROR(IF(INDEX('02_DS_Nhan_Viec'!$H:$H,MATCH($B50,'02_DS_Nhan_Viec'!$B:$B,0))=0,"",INDEX('02_DS_Nhan_Viec'!$H:$H,MATCH($B50,'02_DS_Nhan_Viec'!$B:$B,0))),""))</f>
      </c>
      <c r="AB50" s="60">
        <f t="array" ref="AB50">IF($B50="","",IFERROR(IF(INDEX('02_DS_Nhan_Viec'!$I:$I,MATCH($B50,'02_DS_Nhan_Viec'!$B:$B,0))=0,"",INDEX('02_DS_Nhan_Viec'!$I:$I,MATCH($B50,'02_DS_Nhan_Viec'!$B:$B,0))),""))</f>
      </c>
      <c r="AC50" s="61">
        <f t="array" ref="AC50">IF($B50="","",IF($C50="","Đang theo dõi",IF(OR(IFERROR(INDEX('05_Theo_Doi_Gio_Cong_7_Ngay'!$R:$R,MATCH($C50,'05_Theo_Doi_Gio_Cong_7_Ngay'!$B:$B,0)),"")="",IFERROR(INDEX('05_Theo_Doi_Gio_Cong_7_Ngay'!$R:$R,MATCH($C50,'05_Theo_Doi_Gio_Cong_7_Ngay'!$B:$B,0)),0)=0),"Đang theo dõi",IFERROR(INDEX('06_DS_Chinh_Thuc'!$K:$K,MATCH(IFERROR(INDEX('05_Theo_Doi_Gio_Cong_7_Ngay'!$R:$R,MATCH($C50,'05_Theo_Doi_Gio_Cong_7_Ngay'!$B:$B,0)),0),'06_DS_Chinh_Thuc'!$B:$B,0)),"Đang theo dõi"))))</f>
      </c>
    </row>
    <row r="51" ht="14.25" customHeight="1" spans="1:29" x14ac:dyDescent="0.25">
      <c r="A51" s="52">
        <f t="shared" si="0"/>
      </c>
      <c r="B51" s="52">
        <f t="array" ref="B51">IFERROR(INDEX('02_DS_Nhan_Viec'!$B:$B,MATCH(50,'02_DS_Nhan_Viec'!$M:$M,0)),"")</f>
      </c>
      <c r="C51" s="52">
        <f t="array" ref="C51">IF($B51="","",IFERROR(IF(INDEX('02_DS_Nhan_Viec'!$J:$J,MATCH($B51,'02_DS_Nhan_Viec'!$B:$B,0))=0,"",INDEX('02_DS_Nhan_Viec'!$J:$J,MATCH($B51,'02_DS_Nhan_Viec'!$B:$B,0))),""))</f>
      </c>
      <c r="D51" s="52">
        <f t="array" ref="D51">IF($C51="","",IFERROR(IF(INDEX('05_Theo_Doi_Gio_Cong_7_Ngay'!$R:$R,MATCH($C51,'05_Theo_Doi_Gio_Cong_7_Ngay'!$B:$B,0))=0,"",INDEX('05_Theo_Doi_Gio_Cong_7_Ngay'!$R:$R,MATCH($C51,'05_Theo_Doi_Gio_Cong_7_Ngay'!$B:$B,0))),""))</f>
      </c>
      <c r="E51" s="60">
        <f t="array" ref="E51">IF($B51="","",IFERROR(IF(INDEX('01_UngVien_PhongVan'!$D:$D,MATCH($B51,'01_UngVien_PhongVan'!$B:$B,0))=0,"",INDEX('01_UngVien_PhongVan'!$D:$D,MATCH($B51,'01_UngVien_PhongVan'!$B:$B,0))),""))</f>
      </c>
      <c r="F51" s="52">
        <f t="array" ref="F51">IF($B51="","",IFERROR(IF(INDEX('01_UngVien_PhongVan'!$F:$F,MATCH($B51,'01_UngVien_PhongVan'!$B:$B,0))=0,"",INDEX('01_UngVien_PhongVan'!$F:$F,MATCH($B51,'01_UngVien_PhongVan'!$B:$B,0))),""))</f>
      </c>
      <c r="G51" s="72">
        <f t="array" ref="G51">IF($B51="","",IFERROR(IF(INDEX('01_UngVien_PhongVan'!$G:$G,MATCH($B51,'01_UngVien_PhongVan'!$B:$B,0))=0,"",INDEX('01_UngVien_PhongVan'!$G:$G,MATCH($B51,'01_UngVien_PhongVan'!$B:$B,0))),""))</f>
      </c>
      <c r="H51" s="52">
        <f t="array" ref="H51">IF($B51="","",IFERROR(IF(INDEX('01_UngVien_PhongVan'!$H:$H,MATCH($B51,'01_UngVien_PhongVan'!$B:$B,0))=0,"",INDEX('01_UngVien_PhongVan'!$H:$H,MATCH($B51,'01_UngVien_PhongVan'!$B:$B,0))),""))</f>
      </c>
      <c r="I51" s="60">
        <f t="array" ref="I51">IF($B51="","",IFERROR(IF(INDEX('01_UngVien_PhongVan'!$I:$I,MATCH($B51,'01_UngVien_PhongVan'!$B:$B,0))=0,"",INDEX('01_UngVien_PhongVan'!$I:$I,MATCH($B51,'01_UngVien_PhongVan'!$B:$B,0))),""))</f>
      </c>
      <c r="J51" s="60">
        <f t="array" ref="J51">IF($B51="","",IFERROR(IF(INDEX('01_UngVien_PhongVan'!$J:$J,MATCH($B51,'01_UngVien_PhongVan'!$B:$B,0))=0,"",INDEX('01_UngVien_PhongVan'!$J:$J,MATCH($B51,'01_UngVien_PhongVan'!$B:$B,0))),""))</f>
      </c>
      <c r="K51" s="73">
        <f t="array" ref="K51">IF($B51="","",IFERROR(IF(INDEX('01_UngVien_PhongVan'!$K:$K,MATCH($B51,'01_UngVien_PhongVan'!$B:$B,0))=0,"",INDEX('01_UngVien_PhongVan'!$K:$K,MATCH($B51,'01_UngVien_PhongVan'!$B:$B,0))),""))</f>
      </c>
      <c r="L51" s="60">
        <f t="array" ref="L51">IF($B51="","",IFERROR(IF(INDEX('01_UngVien_PhongVan'!$L:$L,MATCH($B51,'01_UngVien_PhongVan'!$B:$B,0))=0,"",INDEX('01_UngVien_PhongVan'!$L:$L,MATCH($B51,'01_UngVien_PhongVan'!$B:$B,0))),""))</f>
      </c>
      <c r="M51" s="60">
        <f t="array" ref="M51">IF($B51="","",IFERROR(IF(INDEX('01_UngVien_PhongVan'!$E:$E,MATCH($B51,'01_UngVien_PhongVan'!$B:$B,0))=0,"",INDEX('01_UngVien_PhongVan'!$E:$E,MATCH($B51,'01_UngVien_PhongVan'!$B:$B,0))),""))</f>
      </c>
      <c r="N51" s="60">
        <f t="array" ref="N51">IF($B51="","",IFERROR(IF(INDEX('01_UngVien_PhongVan'!$M:$M,MATCH($B51,'01_UngVien_PhongVan'!$B:$B,0))=0,"",INDEX('01_UngVien_PhongVan'!$M:$M,MATCH($B51,'01_UngVien_PhongVan'!$B:$B,0))),""))</f>
      </c>
      <c r="O51" s="60">
        <f t="array" ref="O51">IF($B51="","",IFERROR(IF(INDEX('01_UngVien_PhongVan'!$N:$N,MATCH($B51,'01_UngVien_PhongVan'!$B:$B,0))=0,"",INDEX('01_UngVien_PhongVan'!$N:$N,MATCH($B51,'01_UngVien_PhongVan'!$B:$B,0))),""))</f>
      </c>
      <c r="P51" s="60">
        <f t="array" ref="P51">IF($B51="","",IFERROR(IF(INDEX('01_UngVien_PhongVan'!$O:$O,MATCH($B51,'01_UngVien_PhongVan'!$B:$B,0))=0,"",INDEX('01_UngVien_PhongVan'!$O:$O,MATCH($B51,'01_UngVien_PhongVan'!$B:$B,0))),""))</f>
      </c>
      <c r="Q51" s="60">
        <f t="array" ref="Q51">IF($B51="","",IFERROR(IF(INDEX('01_UngVien_PhongVan'!$P:$P,MATCH($B51,'01_UngVien_PhongVan'!$B:$B,0))=0,"",INDEX('01_UngVien_PhongVan'!$P:$P,MATCH($B51,'01_UngVien_PhongVan'!$B:$B,0))),""))</f>
      </c>
      <c r="R51" s="60">
        <f t="array" ref="R51">IF($B51="","",IFERROR(IF(INDEX('01_UngVien_PhongVan'!$Q:$Q,MATCH($B51,'01_UngVien_PhongVan'!$B:$B,0))=0,"",INDEX('01_UngVien_PhongVan'!$Q:$Q,MATCH($B51,'01_UngVien_PhongVan'!$B:$B,0))),""))</f>
      </c>
      <c r="S51" s="60">
        <f t="array" ref="S51">IF($B51="","",IFERROR(IF(INDEX('01_UngVien_PhongVan'!$R:$R,MATCH($B51,'01_UngVien_PhongVan'!$B:$B,0))=0,"",INDEX('01_UngVien_PhongVan'!$R:$R,MATCH($B51,'01_UngVien_PhongVan'!$B:$B,0))),""))</f>
      </c>
      <c r="T51" s="60">
        <f t="array" ref="T51">IF($B51="","",IFERROR(IF(INDEX('01_UngVien_PhongVan'!$U:$U,MATCH($B51,'01_UngVien_PhongVan'!$B:$B,0))=0,"",INDEX('01_UngVien_PhongVan'!$U:$U,MATCH($B51,'01_UngVien_PhongVan'!$B:$B,0))),""))</f>
      </c>
      <c r="U51" s="73">
        <f t="array" ref="U51">IF($B51="","",IFERROR(IF(INDEX('01_UngVien_PhongVan'!$C:$C,MATCH($B51,'01_UngVien_PhongVan'!$B:$B,0))=0,"",INDEX('01_UngVien_PhongVan'!$C:$C,MATCH($B51,'01_UngVien_PhongVan'!$B:$B,0))),""))</f>
      </c>
      <c r="V51" s="73">
        <f t="array" ref="V51">IF($B51="","",IFERROR(IF(INDEX('02_DS_Nhan_Viec'!$D:$D,MATCH($B51,'02_DS_Nhan_Viec'!$B:$B,0))=0,"",INDEX('02_DS_Nhan_Viec'!$D:$D,MATCH($B51,'02_DS_Nhan_Viec'!$B:$B,0))),""))</f>
      </c>
      <c r="W51" s="73">
        <f t="array" ref="W51">IF($B51="","",IFERROR(IF(INDEX('02_DS_Nhan_Viec'!$E:$E,MATCH($B51,'02_DS_Nhan_Viec'!$B:$B,0))=0,"",INDEX('02_DS_Nhan_Viec'!$E:$E,MATCH($B51,'02_DS_Nhan_Viec'!$B:$B,0))),""))</f>
      </c>
      <c r="X51" s="73">
        <f t="array" ref="X51">IF($C51="","",IFERROR(IF(INDEX('05_Theo_Doi_Gio_Cong_7_Ngay'!$P:$P,MATCH($C51,'05_Theo_Doi_Gio_Cong_7_Ngay'!$B:$B,0))=0,"",INDEX('05_Theo_Doi_Gio_Cong_7_Ngay'!$P:$P,MATCH($C51,'05_Theo_Doi_Gio_Cong_7_Ngay'!$B:$B,0))),""))</f>
      </c>
      <c r="Y51" s="60">
        <f t="array" ref="Y51">IF($C51="","",IFERROR(IF(INDEX('05_Theo_Doi_Gio_Cong_7_Ngay'!$M:$M,MATCH($C51,'05_Theo_Doi_Gio_Cong_7_Ngay'!$B:$B,0))=0,"",INDEX('05_Theo_Doi_Gio_Cong_7_Ngay'!$M:$M,MATCH($C51,'05_Theo_Doi_Gio_Cong_7_Ngay'!$B:$B,0))),""))</f>
      </c>
      <c r="Z51" s="60">
        <f t="array" ref="Z51">IF($C51="","",IFERROR(IF(INDEX('05_Theo_Doi_Gio_Cong_7_Ngay'!$Q:$Q,MATCH($C51,'05_Theo_Doi_Gio_Cong_7_Ngay'!$B:$B,0))=0,"",INDEX('05_Theo_Doi_Gio_Cong_7_Ngay'!$Q:$Q,MATCH($C51,'05_Theo_Doi_Gio_Cong_7_Ngay'!$B:$B,0))),""))</f>
      </c>
      <c r="AA51" s="60">
        <f t="array" ref="AA51">IF($B51="","",IFERROR(IF(INDEX('02_DS_Nhan_Viec'!$H:$H,MATCH($B51,'02_DS_Nhan_Viec'!$B:$B,0))=0,"",INDEX('02_DS_Nhan_Viec'!$H:$H,MATCH($B51,'02_DS_Nhan_Viec'!$B:$B,0))),""))</f>
      </c>
      <c r="AB51" s="60">
        <f t="array" ref="AB51">IF($B51="","",IFERROR(IF(INDEX('02_DS_Nhan_Viec'!$I:$I,MATCH($B51,'02_DS_Nhan_Viec'!$B:$B,0))=0,"",INDEX('02_DS_Nhan_Viec'!$I:$I,MATCH($B51,'02_DS_Nhan_Viec'!$B:$B,0))),""))</f>
      </c>
      <c r="AC51" s="61">
        <f t="array" ref="AC51">IF($B51="","",IF($C51="","Đang theo dõi",IF(OR(IFERROR(INDEX('05_Theo_Doi_Gio_Cong_7_Ngay'!$R:$R,MATCH($C51,'05_Theo_Doi_Gio_Cong_7_Ngay'!$B:$B,0)),"")="",IFERROR(INDEX('05_Theo_Doi_Gio_Cong_7_Ngay'!$R:$R,MATCH($C51,'05_Theo_Doi_Gio_Cong_7_Ngay'!$B:$B,0)),0)=0),"Đang theo dõi",IFERROR(INDEX('06_DS_Chinh_Thuc'!$K:$K,MATCH(IFERROR(INDEX('05_Theo_Doi_Gio_Cong_7_Ngay'!$R:$R,MATCH($C51,'05_Theo_Doi_Gio_Cong_7_Ngay'!$B:$B,0)),0),'06_DS_Chinh_Thuc'!$B:$B,0)),"Đang theo dõi"))))</f>
      </c>
    </row>
    <row r="52" ht="14.25" customHeight="1" spans="1:29" x14ac:dyDescent="0.25">
      <c r="A52" s="52">
        <f t="shared" si="0"/>
      </c>
      <c r="B52" s="52">
        <f t="array" ref="B52">IFERROR(INDEX('02_DS_Nhan_Viec'!$B:$B,MATCH(51,'02_DS_Nhan_Viec'!$M:$M,0)),"")</f>
      </c>
      <c r="C52" s="52">
        <f t="array" ref="C52">IF($B52="","",IFERROR(IF(INDEX('02_DS_Nhan_Viec'!$J:$J,MATCH($B52,'02_DS_Nhan_Viec'!$B:$B,0))=0,"",INDEX('02_DS_Nhan_Viec'!$J:$J,MATCH($B52,'02_DS_Nhan_Viec'!$B:$B,0))),""))</f>
      </c>
      <c r="D52" s="52">
        <f t="array" ref="D52">IF($C52="","",IFERROR(IF(INDEX('05_Theo_Doi_Gio_Cong_7_Ngay'!$R:$R,MATCH($C52,'05_Theo_Doi_Gio_Cong_7_Ngay'!$B:$B,0))=0,"",INDEX('05_Theo_Doi_Gio_Cong_7_Ngay'!$R:$R,MATCH($C52,'05_Theo_Doi_Gio_Cong_7_Ngay'!$B:$B,0))),""))</f>
      </c>
      <c r="E52" s="60">
        <f t="array" ref="E52">IF($B52="","",IFERROR(IF(INDEX('01_UngVien_PhongVan'!$D:$D,MATCH($B52,'01_UngVien_PhongVan'!$B:$B,0))=0,"",INDEX('01_UngVien_PhongVan'!$D:$D,MATCH($B52,'01_UngVien_PhongVan'!$B:$B,0))),""))</f>
      </c>
      <c r="F52" s="52">
        <f t="array" ref="F52">IF($B52="","",IFERROR(IF(INDEX('01_UngVien_PhongVan'!$F:$F,MATCH($B52,'01_UngVien_PhongVan'!$B:$B,0))=0,"",INDEX('01_UngVien_PhongVan'!$F:$F,MATCH($B52,'01_UngVien_PhongVan'!$B:$B,0))),""))</f>
      </c>
      <c r="G52" s="72">
        <f t="array" ref="G52">IF($B52="","",IFERROR(IF(INDEX('01_UngVien_PhongVan'!$G:$G,MATCH($B52,'01_UngVien_PhongVan'!$B:$B,0))=0,"",INDEX('01_UngVien_PhongVan'!$G:$G,MATCH($B52,'01_UngVien_PhongVan'!$B:$B,0))),""))</f>
      </c>
      <c r="H52" s="52">
        <f t="array" ref="H52">IF($B52="","",IFERROR(IF(INDEX('01_UngVien_PhongVan'!$H:$H,MATCH($B52,'01_UngVien_PhongVan'!$B:$B,0))=0,"",INDEX('01_UngVien_PhongVan'!$H:$H,MATCH($B52,'01_UngVien_PhongVan'!$B:$B,0))),""))</f>
      </c>
      <c r="I52" s="60">
        <f t="array" ref="I52">IF($B52="","",IFERROR(IF(INDEX('01_UngVien_PhongVan'!$I:$I,MATCH($B52,'01_UngVien_PhongVan'!$B:$B,0))=0,"",INDEX('01_UngVien_PhongVan'!$I:$I,MATCH($B52,'01_UngVien_PhongVan'!$B:$B,0))),""))</f>
      </c>
      <c r="J52" s="60">
        <f t="array" ref="J52">IF($B52="","",IFERROR(IF(INDEX('01_UngVien_PhongVan'!$J:$J,MATCH($B52,'01_UngVien_PhongVan'!$B:$B,0))=0,"",INDEX('01_UngVien_PhongVan'!$J:$J,MATCH($B52,'01_UngVien_PhongVan'!$B:$B,0))),""))</f>
      </c>
      <c r="K52" s="73">
        <f t="array" ref="K52">IF($B52="","",IFERROR(IF(INDEX('01_UngVien_PhongVan'!$K:$K,MATCH($B52,'01_UngVien_PhongVan'!$B:$B,0))=0,"",INDEX('01_UngVien_PhongVan'!$K:$K,MATCH($B52,'01_UngVien_PhongVan'!$B:$B,0))),""))</f>
      </c>
      <c r="L52" s="60">
        <f t="array" ref="L52">IF($B52="","",IFERROR(IF(INDEX('01_UngVien_PhongVan'!$L:$L,MATCH($B52,'01_UngVien_PhongVan'!$B:$B,0))=0,"",INDEX('01_UngVien_PhongVan'!$L:$L,MATCH($B52,'01_UngVien_PhongVan'!$B:$B,0))),""))</f>
      </c>
      <c r="M52" s="60">
        <f t="array" ref="M52">IF($B52="","",IFERROR(IF(INDEX('01_UngVien_PhongVan'!$E:$E,MATCH($B52,'01_UngVien_PhongVan'!$B:$B,0))=0,"",INDEX('01_UngVien_PhongVan'!$E:$E,MATCH($B52,'01_UngVien_PhongVan'!$B:$B,0))),""))</f>
      </c>
      <c r="N52" s="60">
        <f t="array" ref="N52">IF($B52="","",IFERROR(IF(INDEX('01_UngVien_PhongVan'!$M:$M,MATCH($B52,'01_UngVien_PhongVan'!$B:$B,0))=0,"",INDEX('01_UngVien_PhongVan'!$M:$M,MATCH($B52,'01_UngVien_PhongVan'!$B:$B,0))),""))</f>
      </c>
      <c r="O52" s="60">
        <f t="array" ref="O52">IF($B52="","",IFERROR(IF(INDEX('01_UngVien_PhongVan'!$N:$N,MATCH($B52,'01_UngVien_PhongVan'!$B:$B,0))=0,"",INDEX('01_UngVien_PhongVan'!$N:$N,MATCH($B52,'01_UngVien_PhongVan'!$B:$B,0))),""))</f>
      </c>
      <c r="P52" s="60">
        <f t="array" ref="P52">IF($B52="","",IFERROR(IF(INDEX('01_UngVien_PhongVan'!$O:$O,MATCH($B52,'01_UngVien_PhongVan'!$B:$B,0))=0,"",INDEX('01_UngVien_PhongVan'!$O:$O,MATCH($B52,'01_UngVien_PhongVan'!$B:$B,0))),""))</f>
      </c>
      <c r="Q52" s="60">
        <f t="array" ref="Q52">IF($B52="","",IFERROR(IF(INDEX('01_UngVien_PhongVan'!$P:$P,MATCH($B52,'01_UngVien_PhongVan'!$B:$B,0))=0,"",INDEX('01_UngVien_PhongVan'!$P:$P,MATCH($B52,'01_UngVien_PhongVan'!$B:$B,0))),""))</f>
      </c>
      <c r="R52" s="60">
        <f t="array" ref="R52">IF($B52="","",IFERROR(IF(INDEX('01_UngVien_PhongVan'!$Q:$Q,MATCH($B52,'01_UngVien_PhongVan'!$B:$B,0))=0,"",INDEX('01_UngVien_PhongVan'!$Q:$Q,MATCH($B52,'01_UngVien_PhongVan'!$B:$B,0))),""))</f>
      </c>
      <c r="S52" s="60">
        <f t="array" ref="S52">IF($B52="","",IFERROR(IF(INDEX('01_UngVien_PhongVan'!$R:$R,MATCH($B52,'01_UngVien_PhongVan'!$B:$B,0))=0,"",INDEX('01_UngVien_PhongVan'!$R:$R,MATCH($B52,'01_UngVien_PhongVan'!$B:$B,0))),""))</f>
      </c>
      <c r="T52" s="60">
        <f t="array" ref="T52">IF($B52="","",IFERROR(IF(INDEX('01_UngVien_PhongVan'!$U:$U,MATCH($B52,'01_UngVien_PhongVan'!$B:$B,0))=0,"",INDEX('01_UngVien_PhongVan'!$U:$U,MATCH($B52,'01_UngVien_PhongVan'!$B:$B,0))),""))</f>
      </c>
      <c r="U52" s="73">
        <f t="array" ref="U52">IF($B52="","",IFERROR(IF(INDEX('01_UngVien_PhongVan'!$C:$C,MATCH($B52,'01_UngVien_PhongVan'!$B:$B,0))=0,"",INDEX('01_UngVien_PhongVan'!$C:$C,MATCH($B52,'01_UngVien_PhongVan'!$B:$B,0))),""))</f>
      </c>
      <c r="V52" s="73">
        <f t="array" ref="V52">IF($B52="","",IFERROR(IF(INDEX('02_DS_Nhan_Viec'!$D:$D,MATCH($B52,'02_DS_Nhan_Viec'!$B:$B,0))=0,"",INDEX('02_DS_Nhan_Viec'!$D:$D,MATCH($B52,'02_DS_Nhan_Viec'!$B:$B,0))),""))</f>
      </c>
      <c r="W52" s="73">
        <f t="array" ref="W52">IF($B52="","",IFERROR(IF(INDEX('02_DS_Nhan_Viec'!$E:$E,MATCH($B52,'02_DS_Nhan_Viec'!$B:$B,0))=0,"",INDEX('02_DS_Nhan_Viec'!$E:$E,MATCH($B52,'02_DS_Nhan_Viec'!$B:$B,0))),""))</f>
      </c>
      <c r="X52" s="73">
        <f t="array" ref="X52">IF($C52="","",IFERROR(IF(INDEX('05_Theo_Doi_Gio_Cong_7_Ngay'!$P:$P,MATCH($C52,'05_Theo_Doi_Gio_Cong_7_Ngay'!$B:$B,0))=0,"",INDEX('05_Theo_Doi_Gio_Cong_7_Ngay'!$P:$P,MATCH($C52,'05_Theo_Doi_Gio_Cong_7_Ngay'!$B:$B,0))),""))</f>
      </c>
      <c r="Y52" s="60">
        <f t="array" ref="Y52">IF($C52="","",IFERROR(IF(INDEX('05_Theo_Doi_Gio_Cong_7_Ngay'!$M:$M,MATCH($C52,'05_Theo_Doi_Gio_Cong_7_Ngay'!$B:$B,0))=0,"",INDEX('05_Theo_Doi_Gio_Cong_7_Ngay'!$M:$M,MATCH($C52,'05_Theo_Doi_Gio_Cong_7_Ngay'!$B:$B,0))),""))</f>
      </c>
      <c r="Z52" s="60">
        <f t="array" ref="Z52">IF($C52="","",IFERROR(IF(INDEX('05_Theo_Doi_Gio_Cong_7_Ngay'!$Q:$Q,MATCH($C52,'05_Theo_Doi_Gio_Cong_7_Ngay'!$B:$B,0))=0,"",INDEX('05_Theo_Doi_Gio_Cong_7_Ngay'!$Q:$Q,MATCH($C52,'05_Theo_Doi_Gio_Cong_7_Ngay'!$B:$B,0))),""))</f>
      </c>
      <c r="AA52" s="60">
        <f t="array" ref="AA52">IF($B52="","",IFERROR(IF(INDEX('02_DS_Nhan_Viec'!$H:$H,MATCH($B52,'02_DS_Nhan_Viec'!$B:$B,0))=0,"",INDEX('02_DS_Nhan_Viec'!$H:$H,MATCH($B52,'02_DS_Nhan_Viec'!$B:$B,0))),""))</f>
      </c>
      <c r="AB52" s="60">
        <f t="array" ref="AB52">IF($B52="","",IFERROR(IF(INDEX('02_DS_Nhan_Viec'!$I:$I,MATCH($B52,'02_DS_Nhan_Viec'!$B:$B,0))=0,"",INDEX('02_DS_Nhan_Viec'!$I:$I,MATCH($B52,'02_DS_Nhan_Viec'!$B:$B,0))),""))</f>
      </c>
      <c r="AC52" s="61">
        <f t="array" ref="AC52">IF($B52="","",IF($C52="","Đang theo dõi",IF(OR(IFERROR(INDEX('05_Theo_Doi_Gio_Cong_7_Ngay'!$R:$R,MATCH($C52,'05_Theo_Doi_Gio_Cong_7_Ngay'!$B:$B,0)),"")="",IFERROR(INDEX('05_Theo_Doi_Gio_Cong_7_Ngay'!$R:$R,MATCH($C52,'05_Theo_Doi_Gio_Cong_7_Ngay'!$B:$B,0)),0)=0),"Đang theo dõi",IFERROR(INDEX('06_DS_Chinh_Thuc'!$K:$K,MATCH(IFERROR(INDEX('05_Theo_Doi_Gio_Cong_7_Ngay'!$R:$R,MATCH($C52,'05_Theo_Doi_Gio_Cong_7_Ngay'!$B:$B,0)),0),'06_DS_Chinh_Thuc'!$B:$B,0)),"Đang theo dõi"))))</f>
      </c>
    </row>
    <row r="53" ht="14.25" customHeight="1" spans="1:29" x14ac:dyDescent="0.25">
      <c r="A53" s="52">
        <f t="shared" si="0"/>
      </c>
      <c r="B53" s="52">
        <f t="array" ref="B53">IFERROR(INDEX('02_DS_Nhan_Viec'!$B:$B,MATCH(52,'02_DS_Nhan_Viec'!$M:$M,0)),"")</f>
      </c>
      <c r="C53" s="52">
        <f t="array" ref="C53">IF($B53="","",IFERROR(IF(INDEX('02_DS_Nhan_Viec'!$J:$J,MATCH($B53,'02_DS_Nhan_Viec'!$B:$B,0))=0,"",INDEX('02_DS_Nhan_Viec'!$J:$J,MATCH($B53,'02_DS_Nhan_Viec'!$B:$B,0))),""))</f>
      </c>
      <c r="D53" s="52">
        <f t="array" ref="D53">IF($C53="","",IFERROR(IF(INDEX('05_Theo_Doi_Gio_Cong_7_Ngay'!$R:$R,MATCH($C53,'05_Theo_Doi_Gio_Cong_7_Ngay'!$B:$B,0))=0,"",INDEX('05_Theo_Doi_Gio_Cong_7_Ngay'!$R:$R,MATCH($C53,'05_Theo_Doi_Gio_Cong_7_Ngay'!$B:$B,0))),""))</f>
      </c>
      <c r="E53" s="60">
        <f t="array" ref="E53">IF($B53="","",IFERROR(IF(INDEX('01_UngVien_PhongVan'!$D:$D,MATCH($B53,'01_UngVien_PhongVan'!$B:$B,0))=0,"",INDEX('01_UngVien_PhongVan'!$D:$D,MATCH($B53,'01_UngVien_PhongVan'!$B:$B,0))),""))</f>
      </c>
      <c r="F53" s="52">
        <f t="array" ref="F53">IF($B53="","",IFERROR(IF(INDEX('01_UngVien_PhongVan'!$F:$F,MATCH($B53,'01_UngVien_PhongVan'!$B:$B,0))=0,"",INDEX('01_UngVien_PhongVan'!$F:$F,MATCH($B53,'01_UngVien_PhongVan'!$B:$B,0))),""))</f>
      </c>
      <c r="G53" s="72">
        <f t="array" ref="G53">IF($B53="","",IFERROR(IF(INDEX('01_UngVien_PhongVan'!$G:$G,MATCH($B53,'01_UngVien_PhongVan'!$B:$B,0))=0,"",INDEX('01_UngVien_PhongVan'!$G:$G,MATCH($B53,'01_UngVien_PhongVan'!$B:$B,0))),""))</f>
      </c>
      <c r="H53" s="52">
        <f t="array" ref="H53">IF($B53="","",IFERROR(IF(INDEX('01_UngVien_PhongVan'!$H:$H,MATCH($B53,'01_UngVien_PhongVan'!$B:$B,0))=0,"",INDEX('01_UngVien_PhongVan'!$H:$H,MATCH($B53,'01_UngVien_PhongVan'!$B:$B,0))),""))</f>
      </c>
      <c r="I53" s="60">
        <f t="array" ref="I53">IF($B53="","",IFERROR(IF(INDEX('01_UngVien_PhongVan'!$I:$I,MATCH($B53,'01_UngVien_PhongVan'!$B:$B,0))=0,"",INDEX('01_UngVien_PhongVan'!$I:$I,MATCH($B53,'01_UngVien_PhongVan'!$B:$B,0))),""))</f>
      </c>
      <c r="J53" s="60">
        <f t="array" ref="J53">IF($B53="","",IFERROR(IF(INDEX('01_UngVien_PhongVan'!$J:$J,MATCH($B53,'01_UngVien_PhongVan'!$B:$B,0))=0,"",INDEX('01_UngVien_PhongVan'!$J:$J,MATCH($B53,'01_UngVien_PhongVan'!$B:$B,0))),""))</f>
      </c>
      <c r="K53" s="73">
        <f t="array" ref="K53">IF($B53="","",IFERROR(IF(INDEX('01_UngVien_PhongVan'!$K:$K,MATCH($B53,'01_UngVien_PhongVan'!$B:$B,0))=0,"",INDEX('01_UngVien_PhongVan'!$K:$K,MATCH($B53,'01_UngVien_PhongVan'!$B:$B,0))),""))</f>
      </c>
      <c r="L53" s="60">
        <f t="array" ref="L53">IF($B53="","",IFERROR(IF(INDEX('01_UngVien_PhongVan'!$L:$L,MATCH($B53,'01_UngVien_PhongVan'!$B:$B,0))=0,"",INDEX('01_UngVien_PhongVan'!$L:$L,MATCH($B53,'01_UngVien_PhongVan'!$B:$B,0))),""))</f>
      </c>
      <c r="M53" s="60">
        <f t="array" ref="M53">IF($B53="","",IFERROR(IF(INDEX('01_UngVien_PhongVan'!$E:$E,MATCH($B53,'01_UngVien_PhongVan'!$B:$B,0))=0,"",INDEX('01_UngVien_PhongVan'!$E:$E,MATCH($B53,'01_UngVien_PhongVan'!$B:$B,0))),""))</f>
      </c>
      <c r="N53" s="60">
        <f t="array" ref="N53">IF($B53="","",IFERROR(IF(INDEX('01_UngVien_PhongVan'!$M:$M,MATCH($B53,'01_UngVien_PhongVan'!$B:$B,0))=0,"",INDEX('01_UngVien_PhongVan'!$M:$M,MATCH($B53,'01_UngVien_PhongVan'!$B:$B,0))),""))</f>
      </c>
      <c r="O53" s="60">
        <f t="array" ref="O53">IF($B53="","",IFERROR(IF(INDEX('01_UngVien_PhongVan'!$N:$N,MATCH($B53,'01_UngVien_PhongVan'!$B:$B,0))=0,"",INDEX('01_UngVien_PhongVan'!$N:$N,MATCH($B53,'01_UngVien_PhongVan'!$B:$B,0))),""))</f>
      </c>
      <c r="P53" s="60">
        <f t="array" ref="P53">IF($B53="","",IFERROR(IF(INDEX('01_UngVien_PhongVan'!$O:$O,MATCH($B53,'01_UngVien_PhongVan'!$B:$B,0))=0,"",INDEX('01_UngVien_PhongVan'!$O:$O,MATCH($B53,'01_UngVien_PhongVan'!$B:$B,0))),""))</f>
      </c>
      <c r="Q53" s="60">
        <f t="array" ref="Q53">IF($B53="","",IFERROR(IF(INDEX('01_UngVien_PhongVan'!$P:$P,MATCH($B53,'01_UngVien_PhongVan'!$B:$B,0))=0,"",INDEX('01_UngVien_PhongVan'!$P:$P,MATCH($B53,'01_UngVien_PhongVan'!$B:$B,0))),""))</f>
      </c>
      <c r="R53" s="60">
        <f t="array" ref="R53">IF($B53="","",IFERROR(IF(INDEX('01_UngVien_PhongVan'!$Q:$Q,MATCH($B53,'01_UngVien_PhongVan'!$B:$B,0))=0,"",INDEX('01_UngVien_PhongVan'!$Q:$Q,MATCH($B53,'01_UngVien_PhongVan'!$B:$B,0))),""))</f>
      </c>
      <c r="S53" s="60">
        <f t="array" ref="S53">IF($B53="","",IFERROR(IF(INDEX('01_UngVien_PhongVan'!$R:$R,MATCH($B53,'01_UngVien_PhongVan'!$B:$B,0))=0,"",INDEX('01_UngVien_PhongVan'!$R:$R,MATCH($B53,'01_UngVien_PhongVan'!$B:$B,0))),""))</f>
      </c>
      <c r="T53" s="60">
        <f t="array" ref="T53">IF($B53="","",IFERROR(IF(INDEX('01_UngVien_PhongVan'!$U:$U,MATCH($B53,'01_UngVien_PhongVan'!$B:$B,0))=0,"",INDEX('01_UngVien_PhongVan'!$U:$U,MATCH($B53,'01_UngVien_PhongVan'!$B:$B,0))),""))</f>
      </c>
      <c r="U53" s="73">
        <f t="array" ref="U53">IF($B53="","",IFERROR(IF(INDEX('01_UngVien_PhongVan'!$C:$C,MATCH($B53,'01_UngVien_PhongVan'!$B:$B,0))=0,"",INDEX('01_UngVien_PhongVan'!$C:$C,MATCH($B53,'01_UngVien_PhongVan'!$B:$B,0))),""))</f>
      </c>
      <c r="V53" s="73">
        <f t="array" ref="V53">IF($B53="","",IFERROR(IF(INDEX('02_DS_Nhan_Viec'!$D:$D,MATCH($B53,'02_DS_Nhan_Viec'!$B:$B,0))=0,"",INDEX('02_DS_Nhan_Viec'!$D:$D,MATCH($B53,'02_DS_Nhan_Viec'!$B:$B,0))),""))</f>
      </c>
      <c r="W53" s="73">
        <f t="array" ref="W53">IF($B53="","",IFERROR(IF(INDEX('02_DS_Nhan_Viec'!$E:$E,MATCH($B53,'02_DS_Nhan_Viec'!$B:$B,0))=0,"",INDEX('02_DS_Nhan_Viec'!$E:$E,MATCH($B53,'02_DS_Nhan_Viec'!$B:$B,0))),""))</f>
      </c>
      <c r="X53" s="73">
        <f t="array" ref="X53">IF($C53="","",IFERROR(IF(INDEX('05_Theo_Doi_Gio_Cong_7_Ngay'!$P:$P,MATCH($C53,'05_Theo_Doi_Gio_Cong_7_Ngay'!$B:$B,0))=0,"",INDEX('05_Theo_Doi_Gio_Cong_7_Ngay'!$P:$P,MATCH($C53,'05_Theo_Doi_Gio_Cong_7_Ngay'!$B:$B,0))),""))</f>
      </c>
      <c r="Y53" s="60">
        <f t="array" ref="Y53">IF($C53="","",IFERROR(IF(INDEX('05_Theo_Doi_Gio_Cong_7_Ngay'!$M:$M,MATCH($C53,'05_Theo_Doi_Gio_Cong_7_Ngay'!$B:$B,0))=0,"",INDEX('05_Theo_Doi_Gio_Cong_7_Ngay'!$M:$M,MATCH($C53,'05_Theo_Doi_Gio_Cong_7_Ngay'!$B:$B,0))),""))</f>
      </c>
      <c r="Z53" s="60">
        <f t="array" ref="Z53">IF($C53="","",IFERROR(IF(INDEX('05_Theo_Doi_Gio_Cong_7_Ngay'!$Q:$Q,MATCH($C53,'05_Theo_Doi_Gio_Cong_7_Ngay'!$B:$B,0))=0,"",INDEX('05_Theo_Doi_Gio_Cong_7_Ngay'!$Q:$Q,MATCH($C53,'05_Theo_Doi_Gio_Cong_7_Ngay'!$B:$B,0))),""))</f>
      </c>
      <c r="AA53" s="60">
        <f t="array" ref="AA53">IF($B53="","",IFERROR(IF(INDEX('02_DS_Nhan_Viec'!$H:$H,MATCH($B53,'02_DS_Nhan_Viec'!$B:$B,0))=0,"",INDEX('02_DS_Nhan_Viec'!$H:$H,MATCH($B53,'02_DS_Nhan_Viec'!$B:$B,0))),""))</f>
      </c>
      <c r="AB53" s="60">
        <f t="array" ref="AB53">IF($B53="","",IFERROR(IF(INDEX('02_DS_Nhan_Viec'!$I:$I,MATCH($B53,'02_DS_Nhan_Viec'!$B:$B,0))=0,"",INDEX('02_DS_Nhan_Viec'!$I:$I,MATCH($B53,'02_DS_Nhan_Viec'!$B:$B,0))),""))</f>
      </c>
      <c r="AC53" s="61">
        <f t="array" ref="AC53">IF($B53="","",IF($C53="","Đang theo dõi",IF(OR(IFERROR(INDEX('05_Theo_Doi_Gio_Cong_7_Ngay'!$R:$R,MATCH($C53,'05_Theo_Doi_Gio_Cong_7_Ngay'!$B:$B,0)),"")="",IFERROR(INDEX('05_Theo_Doi_Gio_Cong_7_Ngay'!$R:$R,MATCH($C53,'05_Theo_Doi_Gio_Cong_7_Ngay'!$B:$B,0)),0)=0),"Đang theo dõi",IFERROR(INDEX('06_DS_Chinh_Thuc'!$K:$K,MATCH(IFERROR(INDEX('05_Theo_Doi_Gio_Cong_7_Ngay'!$R:$R,MATCH($C53,'05_Theo_Doi_Gio_Cong_7_Ngay'!$B:$B,0)),0),'06_DS_Chinh_Thuc'!$B:$B,0)),"Đang theo dõi"))))</f>
      </c>
    </row>
    <row r="54" ht="14.25" customHeight="1" spans="1:29" x14ac:dyDescent="0.25">
      <c r="A54" s="52">
        <f t="shared" si="0"/>
      </c>
      <c r="B54" s="52">
        <f t="array" ref="B54">IFERROR(INDEX('02_DS_Nhan_Viec'!$B:$B,MATCH(53,'02_DS_Nhan_Viec'!$M:$M,0)),"")</f>
      </c>
      <c r="C54" s="52">
        <f t="array" ref="C54">IF($B54="","",IFERROR(IF(INDEX('02_DS_Nhan_Viec'!$J:$J,MATCH($B54,'02_DS_Nhan_Viec'!$B:$B,0))=0,"",INDEX('02_DS_Nhan_Viec'!$J:$J,MATCH($B54,'02_DS_Nhan_Viec'!$B:$B,0))),""))</f>
      </c>
      <c r="D54" s="52">
        <f t="array" ref="D54">IF($C54="","",IFERROR(IF(INDEX('05_Theo_Doi_Gio_Cong_7_Ngay'!$R:$R,MATCH($C54,'05_Theo_Doi_Gio_Cong_7_Ngay'!$B:$B,0))=0,"",INDEX('05_Theo_Doi_Gio_Cong_7_Ngay'!$R:$R,MATCH($C54,'05_Theo_Doi_Gio_Cong_7_Ngay'!$B:$B,0))),""))</f>
      </c>
      <c r="E54" s="60">
        <f t="array" ref="E54">IF($B54="","",IFERROR(IF(INDEX('01_UngVien_PhongVan'!$D:$D,MATCH($B54,'01_UngVien_PhongVan'!$B:$B,0))=0,"",INDEX('01_UngVien_PhongVan'!$D:$D,MATCH($B54,'01_UngVien_PhongVan'!$B:$B,0))),""))</f>
      </c>
      <c r="F54" s="52">
        <f t="array" ref="F54">IF($B54="","",IFERROR(IF(INDEX('01_UngVien_PhongVan'!$F:$F,MATCH($B54,'01_UngVien_PhongVan'!$B:$B,0))=0,"",INDEX('01_UngVien_PhongVan'!$F:$F,MATCH($B54,'01_UngVien_PhongVan'!$B:$B,0))),""))</f>
      </c>
      <c r="G54" s="72">
        <f t="array" ref="G54">IF($B54="","",IFERROR(IF(INDEX('01_UngVien_PhongVan'!$G:$G,MATCH($B54,'01_UngVien_PhongVan'!$B:$B,0))=0,"",INDEX('01_UngVien_PhongVan'!$G:$G,MATCH($B54,'01_UngVien_PhongVan'!$B:$B,0))),""))</f>
      </c>
      <c r="H54" s="52">
        <f t="array" ref="H54">IF($B54="","",IFERROR(IF(INDEX('01_UngVien_PhongVan'!$H:$H,MATCH($B54,'01_UngVien_PhongVan'!$B:$B,0))=0,"",INDEX('01_UngVien_PhongVan'!$H:$H,MATCH($B54,'01_UngVien_PhongVan'!$B:$B,0))),""))</f>
      </c>
      <c r="I54" s="60">
        <f t="array" ref="I54">IF($B54="","",IFERROR(IF(INDEX('01_UngVien_PhongVan'!$I:$I,MATCH($B54,'01_UngVien_PhongVan'!$B:$B,0))=0,"",INDEX('01_UngVien_PhongVan'!$I:$I,MATCH($B54,'01_UngVien_PhongVan'!$B:$B,0))),""))</f>
      </c>
      <c r="J54" s="60">
        <f t="array" ref="J54">IF($B54="","",IFERROR(IF(INDEX('01_UngVien_PhongVan'!$J:$J,MATCH($B54,'01_UngVien_PhongVan'!$B:$B,0))=0,"",INDEX('01_UngVien_PhongVan'!$J:$J,MATCH($B54,'01_UngVien_PhongVan'!$B:$B,0))),""))</f>
      </c>
      <c r="K54" s="73">
        <f t="array" ref="K54">IF($B54="","",IFERROR(IF(INDEX('01_UngVien_PhongVan'!$K:$K,MATCH($B54,'01_UngVien_PhongVan'!$B:$B,0))=0,"",INDEX('01_UngVien_PhongVan'!$K:$K,MATCH($B54,'01_UngVien_PhongVan'!$B:$B,0))),""))</f>
      </c>
      <c r="L54" s="60">
        <f t="array" ref="L54">IF($B54="","",IFERROR(IF(INDEX('01_UngVien_PhongVan'!$L:$L,MATCH($B54,'01_UngVien_PhongVan'!$B:$B,0))=0,"",INDEX('01_UngVien_PhongVan'!$L:$L,MATCH($B54,'01_UngVien_PhongVan'!$B:$B,0))),""))</f>
      </c>
      <c r="M54" s="60">
        <f t="array" ref="M54">IF($B54="","",IFERROR(IF(INDEX('01_UngVien_PhongVan'!$E:$E,MATCH($B54,'01_UngVien_PhongVan'!$B:$B,0))=0,"",INDEX('01_UngVien_PhongVan'!$E:$E,MATCH($B54,'01_UngVien_PhongVan'!$B:$B,0))),""))</f>
      </c>
      <c r="N54" s="60">
        <f t="array" ref="N54">IF($B54="","",IFERROR(IF(INDEX('01_UngVien_PhongVan'!$M:$M,MATCH($B54,'01_UngVien_PhongVan'!$B:$B,0))=0,"",INDEX('01_UngVien_PhongVan'!$M:$M,MATCH($B54,'01_UngVien_PhongVan'!$B:$B,0))),""))</f>
      </c>
      <c r="O54" s="60">
        <f t="array" ref="O54">IF($B54="","",IFERROR(IF(INDEX('01_UngVien_PhongVan'!$N:$N,MATCH($B54,'01_UngVien_PhongVan'!$B:$B,0))=0,"",INDEX('01_UngVien_PhongVan'!$N:$N,MATCH($B54,'01_UngVien_PhongVan'!$B:$B,0))),""))</f>
      </c>
      <c r="P54" s="60">
        <f t="array" ref="P54">IF($B54="","",IFERROR(IF(INDEX('01_UngVien_PhongVan'!$O:$O,MATCH($B54,'01_UngVien_PhongVan'!$B:$B,0))=0,"",INDEX('01_UngVien_PhongVan'!$O:$O,MATCH($B54,'01_UngVien_PhongVan'!$B:$B,0))),""))</f>
      </c>
      <c r="Q54" s="60">
        <f t="array" ref="Q54">IF($B54="","",IFERROR(IF(INDEX('01_UngVien_PhongVan'!$P:$P,MATCH($B54,'01_UngVien_PhongVan'!$B:$B,0))=0,"",INDEX('01_UngVien_PhongVan'!$P:$P,MATCH($B54,'01_UngVien_PhongVan'!$B:$B,0))),""))</f>
      </c>
      <c r="R54" s="60">
        <f t="array" ref="R54">IF($B54="","",IFERROR(IF(INDEX('01_UngVien_PhongVan'!$Q:$Q,MATCH($B54,'01_UngVien_PhongVan'!$B:$B,0))=0,"",INDEX('01_UngVien_PhongVan'!$Q:$Q,MATCH($B54,'01_UngVien_PhongVan'!$B:$B,0))),""))</f>
      </c>
      <c r="S54" s="60">
        <f t="array" ref="S54">IF($B54="","",IFERROR(IF(INDEX('01_UngVien_PhongVan'!$R:$R,MATCH($B54,'01_UngVien_PhongVan'!$B:$B,0))=0,"",INDEX('01_UngVien_PhongVan'!$R:$R,MATCH($B54,'01_UngVien_PhongVan'!$B:$B,0))),""))</f>
      </c>
      <c r="T54" s="60">
        <f t="array" ref="T54">IF($B54="","",IFERROR(IF(INDEX('01_UngVien_PhongVan'!$U:$U,MATCH($B54,'01_UngVien_PhongVan'!$B:$B,0))=0,"",INDEX('01_UngVien_PhongVan'!$U:$U,MATCH($B54,'01_UngVien_PhongVan'!$B:$B,0))),""))</f>
      </c>
      <c r="U54" s="73">
        <f t="array" ref="U54">IF($B54="","",IFERROR(IF(INDEX('01_UngVien_PhongVan'!$C:$C,MATCH($B54,'01_UngVien_PhongVan'!$B:$B,0))=0,"",INDEX('01_UngVien_PhongVan'!$C:$C,MATCH($B54,'01_UngVien_PhongVan'!$B:$B,0))),""))</f>
      </c>
      <c r="V54" s="73">
        <f t="array" ref="V54">IF($B54="","",IFERROR(IF(INDEX('02_DS_Nhan_Viec'!$D:$D,MATCH($B54,'02_DS_Nhan_Viec'!$B:$B,0))=0,"",INDEX('02_DS_Nhan_Viec'!$D:$D,MATCH($B54,'02_DS_Nhan_Viec'!$B:$B,0))),""))</f>
      </c>
      <c r="W54" s="73">
        <f t="array" ref="W54">IF($B54="","",IFERROR(IF(INDEX('02_DS_Nhan_Viec'!$E:$E,MATCH($B54,'02_DS_Nhan_Viec'!$B:$B,0))=0,"",INDEX('02_DS_Nhan_Viec'!$E:$E,MATCH($B54,'02_DS_Nhan_Viec'!$B:$B,0))),""))</f>
      </c>
      <c r="X54" s="73">
        <f t="array" ref="X54">IF($C54="","",IFERROR(IF(INDEX('05_Theo_Doi_Gio_Cong_7_Ngay'!$P:$P,MATCH($C54,'05_Theo_Doi_Gio_Cong_7_Ngay'!$B:$B,0))=0,"",INDEX('05_Theo_Doi_Gio_Cong_7_Ngay'!$P:$P,MATCH($C54,'05_Theo_Doi_Gio_Cong_7_Ngay'!$B:$B,0))),""))</f>
      </c>
      <c r="Y54" s="60">
        <f t="array" ref="Y54">IF($C54="","",IFERROR(IF(INDEX('05_Theo_Doi_Gio_Cong_7_Ngay'!$M:$M,MATCH($C54,'05_Theo_Doi_Gio_Cong_7_Ngay'!$B:$B,0))=0,"",INDEX('05_Theo_Doi_Gio_Cong_7_Ngay'!$M:$M,MATCH($C54,'05_Theo_Doi_Gio_Cong_7_Ngay'!$B:$B,0))),""))</f>
      </c>
      <c r="Z54" s="60">
        <f t="array" ref="Z54">IF($C54="","",IFERROR(IF(INDEX('05_Theo_Doi_Gio_Cong_7_Ngay'!$Q:$Q,MATCH($C54,'05_Theo_Doi_Gio_Cong_7_Ngay'!$B:$B,0))=0,"",INDEX('05_Theo_Doi_Gio_Cong_7_Ngay'!$Q:$Q,MATCH($C54,'05_Theo_Doi_Gio_Cong_7_Ngay'!$B:$B,0))),""))</f>
      </c>
      <c r="AA54" s="60">
        <f t="array" ref="AA54">IF($B54="","",IFERROR(IF(INDEX('02_DS_Nhan_Viec'!$H:$H,MATCH($B54,'02_DS_Nhan_Viec'!$B:$B,0))=0,"",INDEX('02_DS_Nhan_Viec'!$H:$H,MATCH($B54,'02_DS_Nhan_Viec'!$B:$B,0))),""))</f>
      </c>
      <c r="AB54" s="60">
        <f t="array" ref="AB54">IF($B54="","",IFERROR(IF(INDEX('02_DS_Nhan_Viec'!$I:$I,MATCH($B54,'02_DS_Nhan_Viec'!$B:$B,0))=0,"",INDEX('02_DS_Nhan_Viec'!$I:$I,MATCH($B54,'02_DS_Nhan_Viec'!$B:$B,0))),""))</f>
      </c>
      <c r="AC54" s="61">
        <f t="array" ref="AC54">IF($B54="","",IF($C54="","Đang theo dõi",IF(OR(IFERROR(INDEX('05_Theo_Doi_Gio_Cong_7_Ngay'!$R:$R,MATCH($C54,'05_Theo_Doi_Gio_Cong_7_Ngay'!$B:$B,0)),"")="",IFERROR(INDEX('05_Theo_Doi_Gio_Cong_7_Ngay'!$R:$R,MATCH($C54,'05_Theo_Doi_Gio_Cong_7_Ngay'!$B:$B,0)),0)=0),"Đang theo dõi",IFERROR(INDEX('06_DS_Chinh_Thuc'!$K:$K,MATCH(IFERROR(INDEX('05_Theo_Doi_Gio_Cong_7_Ngay'!$R:$R,MATCH($C54,'05_Theo_Doi_Gio_Cong_7_Ngay'!$B:$B,0)),0),'06_DS_Chinh_Thuc'!$B:$B,0)),"Đang theo dõi"))))</f>
      </c>
    </row>
    <row r="55" ht="14.25" customHeight="1" spans="1:29" x14ac:dyDescent="0.25">
      <c r="A55" s="52">
        <f t="shared" si="0"/>
      </c>
      <c r="B55" s="52">
        <f t="array" ref="B55">IFERROR(INDEX('02_DS_Nhan_Viec'!$B:$B,MATCH(54,'02_DS_Nhan_Viec'!$M:$M,0)),"")</f>
      </c>
      <c r="C55" s="52">
        <f t="array" ref="C55">IF($B55="","",IFERROR(IF(INDEX('02_DS_Nhan_Viec'!$J:$J,MATCH($B55,'02_DS_Nhan_Viec'!$B:$B,0))=0,"",INDEX('02_DS_Nhan_Viec'!$J:$J,MATCH($B55,'02_DS_Nhan_Viec'!$B:$B,0))),""))</f>
      </c>
      <c r="D55" s="52">
        <f t="array" ref="D55">IF($C55="","",IFERROR(IF(INDEX('05_Theo_Doi_Gio_Cong_7_Ngay'!$R:$R,MATCH($C55,'05_Theo_Doi_Gio_Cong_7_Ngay'!$B:$B,0))=0,"",INDEX('05_Theo_Doi_Gio_Cong_7_Ngay'!$R:$R,MATCH($C55,'05_Theo_Doi_Gio_Cong_7_Ngay'!$B:$B,0))),""))</f>
      </c>
      <c r="E55" s="60">
        <f t="array" ref="E55">IF($B55="","",IFERROR(IF(INDEX('01_UngVien_PhongVan'!$D:$D,MATCH($B55,'01_UngVien_PhongVan'!$B:$B,0))=0,"",INDEX('01_UngVien_PhongVan'!$D:$D,MATCH($B55,'01_UngVien_PhongVan'!$B:$B,0))),""))</f>
      </c>
      <c r="F55" s="52">
        <f t="array" ref="F55">IF($B55="","",IFERROR(IF(INDEX('01_UngVien_PhongVan'!$F:$F,MATCH($B55,'01_UngVien_PhongVan'!$B:$B,0))=0,"",INDEX('01_UngVien_PhongVan'!$F:$F,MATCH($B55,'01_UngVien_PhongVan'!$B:$B,0))),""))</f>
      </c>
      <c r="G55" s="72">
        <f t="array" ref="G55">IF($B55="","",IFERROR(IF(INDEX('01_UngVien_PhongVan'!$G:$G,MATCH($B55,'01_UngVien_PhongVan'!$B:$B,0))=0,"",INDEX('01_UngVien_PhongVan'!$G:$G,MATCH($B55,'01_UngVien_PhongVan'!$B:$B,0))),""))</f>
      </c>
      <c r="H55" s="52">
        <f t="array" ref="H55">IF($B55="","",IFERROR(IF(INDEX('01_UngVien_PhongVan'!$H:$H,MATCH($B55,'01_UngVien_PhongVan'!$B:$B,0))=0,"",INDEX('01_UngVien_PhongVan'!$H:$H,MATCH($B55,'01_UngVien_PhongVan'!$B:$B,0))),""))</f>
      </c>
      <c r="I55" s="60">
        <f t="array" ref="I55">IF($B55="","",IFERROR(IF(INDEX('01_UngVien_PhongVan'!$I:$I,MATCH($B55,'01_UngVien_PhongVan'!$B:$B,0))=0,"",INDEX('01_UngVien_PhongVan'!$I:$I,MATCH($B55,'01_UngVien_PhongVan'!$B:$B,0))),""))</f>
      </c>
      <c r="J55" s="60">
        <f t="array" ref="J55">IF($B55="","",IFERROR(IF(INDEX('01_UngVien_PhongVan'!$J:$J,MATCH($B55,'01_UngVien_PhongVan'!$B:$B,0))=0,"",INDEX('01_UngVien_PhongVan'!$J:$J,MATCH($B55,'01_UngVien_PhongVan'!$B:$B,0))),""))</f>
      </c>
      <c r="K55" s="73">
        <f t="array" ref="K55">IF($B55="","",IFERROR(IF(INDEX('01_UngVien_PhongVan'!$K:$K,MATCH($B55,'01_UngVien_PhongVan'!$B:$B,0))=0,"",INDEX('01_UngVien_PhongVan'!$K:$K,MATCH($B55,'01_UngVien_PhongVan'!$B:$B,0))),""))</f>
      </c>
      <c r="L55" s="60">
        <f t="array" ref="L55">IF($B55="","",IFERROR(IF(INDEX('01_UngVien_PhongVan'!$L:$L,MATCH($B55,'01_UngVien_PhongVan'!$B:$B,0))=0,"",INDEX('01_UngVien_PhongVan'!$L:$L,MATCH($B55,'01_UngVien_PhongVan'!$B:$B,0))),""))</f>
      </c>
      <c r="M55" s="60">
        <f t="array" ref="M55">IF($B55="","",IFERROR(IF(INDEX('01_UngVien_PhongVan'!$E:$E,MATCH($B55,'01_UngVien_PhongVan'!$B:$B,0))=0,"",INDEX('01_UngVien_PhongVan'!$E:$E,MATCH($B55,'01_UngVien_PhongVan'!$B:$B,0))),""))</f>
      </c>
      <c r="N55" s="60">
        <f t="array" ref="N55">IF($B55="","",IFERROR(IF(INDEX('01_UngVien_PhongVan'!$M:$M,MATCH($B55,'01_UngVien_PhongVan'!$B:$B,0))=0,"",INDEX('01_UngVien_PhongVan'!$M:$M,MATCH($B55,'01_UngVien_PhongVan'!$B:$B,0))),""))</f>
      </c>
      <c r="O55" s="60">
        <f t="array" ref="O55">IF($B55="","",IFERROR(IF(INDEX('01_UngVien_PhongVan'!$N:$N,MATCH($B55,'01_UngVien_PhongVan'!$B:$B,0))=0,"",INDEX('01_UngVien_PhongVan'!$N:$N,MATCH($B55,'01_UngVien_PhongVan'!$B:$B,0))),""))</f>
      </c>
      <c r="P55" s="60">
        <f t="array" ref="P55">IF($B55="","",IFERROR(IF(INDEX('01_UngVien_PhongVan'!$O:$O,MATCH($B55,'01_UngVien_PhongVan'!$B:$B,0))=0,"",INDEX('01_UngVien_PhongVan'!$O:$O,MATCH($B55,'01_UngVien_PhongVan'!$B:$B,0))),""))</f>
      </c>
      <c r="Q55" s="60">
        <f t="array" ref="Q55">IF($B55="","",IFERROR(IF(INDEX('01_UngVien_PhongVan'!$P:$P,MATCH($B55,'01_UngVien_PhongVan'!$B:$B,0))=0,"",INDEX('01_UngVien_PhongVan'!$P:$P,MATCH($B55,'01_UngVien_PhongVan'!$B:$B,0))),""))</f>
      </c>
      <c r="R55" s="60">
        <f t="array" ref="R55">IF($B55="","",IFERROR(IF(INDEX('01_UngVien_PhongVan'!$Q:$Q,MATCH($B55,'01_UngVien_PhongVan'!$B:$B,0))=0,"",INDEX('01_UngVien_PhongVan'!$Q:$Q,MATCH($B55,'01_UngVien_PhongVan'!$B:$B,0))),""))</f>
      </c>
      <c r="S55" s="60">
        <f t="array" ref="S55">IF($B55="","",IFERROR(IF(INDEX('01_UngVien_PhongVan'!$R:$R,MATCH($B55,'01_UngVien_PhongVan'!$B:$B,0))=0,"",INDEX('01_UngVien_PhongVan'!$R:$R,MATCH($B55,'01_UngVien_PhongVan'!$B:$B,0))),""))</f>
      </c>
      <c r="T55" s="60">
        <f t="array" ref="T55">IF($B55="","",IFERROR(IF(INDEX('01_UngVien_PhongVan'!$U:$U,MATCH($B55,'01_UngVien_PhongVan'!$B:$B,0))=0,"",INDEX('01_UngVien_PhongVan'!$U:$U,MATCH($B55,'01_UngVien_PhongVan'!$B:$B,0))),""))</f>
      </c>
      <c r="U55" s="73">
        <f t="array" ref="U55">IF($B55="","",IFERROR(IF(INDEX('01_UngVien_PhongVan'!$C:$C,MATCH($B55,'01_UngVien_PhongVan'!$B:$B,0))=0,"",INDEX('01_UngVien_PhongVan'!$C:$C,MATCH($B55,'01_UngVien_PhongVan'!$B:$B,0))),""))</f>
      </c>
      <c r="V55" s="73">
        <f t="array" ref="V55">IF($B55="","",IFERROR(IF(INDEX('02_DS_Nhan_Viec'!$D:$D,MATCH($B55,'02_DS_Nhan_Viec'!$B:$B,0))=0,"",INDEX('02_DS_Nhan_Viec'!$D:$D,MATCH($B55,'02_DS_Nhan_Viec'!$B:$B,0))),""))</f>
      </c>
      <c r="W55" s="73">
        <f t="array" ref="W55">IF($B55="","",IFERROR(IF(INDEX('02_DS_Nhan_Viec'!$E:$E,MATCH($B55,'02_DS_Nhan_Viec'!$B:$B,0))=0,"",INDEX('02_DS_Nhan_Viec'!$E:$E,MATCH($B55,'02_DS_Nhan_Viec'!$B:$B,0))),""))</f>
      </c>
      <c r="X55" s="73">
        <f t="array" ref="X55">IF($C55="","",IFERROR(IF(INDEX('05_Theo_Doi_Gio_Cong_7_Ngay'!$P:$P,MATCH($C55,'05_Theo_Doi_Gio_Cong_7_Ngay'!$B:$B,0))=0,"",INDEX('05_Theo_Doi_Gio_Cong_7_Ngay'!$P:$P,MATCH($C55,'05_Theo_Doi_Gio_Cong_7_Ngay'!$B:$B,0))),""))</f>
      </c>
      <c r="Y55" s="60">
        <f t="array" ref="Y55">IF($C55="","",IFERROR(IF(INDEX('05_Theo_Doi_Gio_Cong_7_Ngay'!$M:$M,MATCH($C55,'05_Theo_Doi_Gio_Cong_7_Ngay'!$B:$B,0))=0,"",INDEX('05_Theo_Doi_Gio_Cong_7_Ngay'!$M:$M,MATCH($C55,'05_Theo_Doi_Gio_Cong_7_Ngay'!$B:$B,0))),""))</f>
      </c>
      <c r="Z55" s="60">
        <f t="array" ref="Z55">IF($C55="","",IFERROR(IF(INDEX('05_Theo_Doi_Gio_Cong_7_Ngay'!$Q:$Q,MATCH($C55,'05_Theo_Doi_Gio_Cong_7_Ngay'!$B:$B,0))=0,"",INDEX('05_Theo_Doi_Gio_Cong_7_Ngay'!$Q:$Q,MATCH($C55,'05_Theo_Doi_Gio_Cong_7_Ngay'!$B:$B,0))),""))</f>
      </c>
      <c r="AA55" s="60">
        <f t="array" ref="AA55">IF($B55="","",IFERROR(IF(INDEX('02_DS_Nhan_Viec'!$H:$H,MATCH($B55,'02_DS_Nhan_Viec'!$B:$B,0))=0,"",INDEX('02_DS_Nhan_Viec'!$H:$H,MATCH($B55,'02_DS_Nhan_Viec'!$B:$B,0))),""))</f>
      </c>
      <c r="AB55" s="60">
        <f t="array" ref="AB55">IF($B55="","",IFERROR(IF(INDEX('02_DS_Nhan_Viec'!$I:$I,MATCH($B55,'02_DS_Nhan_Viec'!$B:$B,0))=0,"",INDEX('02_DS_Nhan_Viec'!$I:$I,MATCH($B55,'02_DS_Nhan_Viec'!$B:$B,0))),""))</f>
      </c>
      <c r="AC55" s="61">
        <f t="array" ref="AC55">IF($B55="","",IF($C55="","Đang theo dõi",IF(OR(IFERROR(INDEX('05_Theo_Doi_Gio_Cong_7_Ngay'!$R:$R,MATCH($C55,'05_Theo_Doi_Gio_Cong_7_Ngay'!$B:$B,0)),"")="",IFERROR(INDEX('05_Theo_Doi_Gio_Cong_7_Ngay'!$R:$R,MATCH($C55,'05_Theo_Doi_Gio_Cong_7_Ngay'!$B:$B,0)),0)=0),"Đang theo dõi",IFERROR(INDEX('06_DS_Chinh_Thuc'!$K:$K,MATCH(IFERROR(INDEX('05_Theo_Doi_Gio_Cong_7_Ngay'!$R:$R,MATCH($C55,'05_Theo_Doi_Gio_Cong_7_Ngay'!$B:$B,0)),0),'06_DS_Chinh_Thuc'!$B:$B,0)),"Đang theo dõi"))))</f>
      </c>
    </row>
    <row r="56" ht="14.25" customHeight="1" spans="1:29" x14ac:dyDescent="0.25">
      <c r="A56" s="52">
        <f t="shared" si="0"/>
      </c>
      <c r="B56" s="52">
        <f t="array" ref="B56">IFERROR(INDEX('02_DS_Nhan_Viec'!$B:$B,MATCH(55,'02_DS_Nhan_Viec'!$M:$M,0)),"")</f>
      </c>
      <c r="C56" s="52">
        <f t="array" ref="C56">IF($B56="","",IFERROR(IF(INDEX('02_DS_Nhan_Viec'!$J:$J,MATCH($B56,'02_DS_Nhan_Viec'!$B:$B,0))=0,"",INDEX('02_DS_Nhan_Viec'!$J:$J,MATCH($B56,'02_DS_Nhan_Viec'!$B:$B,0))),""))</f>
      </c>
      <c r="D56" s="52">
        <f t="array" ref="D56">IF($C56="","",IFERROR(IF(INDEX('05_Theo_Doi_Gio_Cong_7_Ngay'!$R:$R,MATCH($C56,'05_Theo_Doi_Gio_Cong_7_Ngay'!$B:$B,0))=0,"",INDEX('05_Theo_Doi_Gio_Cong_7_Ngay'!$R:$R,MATCH($C56,'05_Theo_Doi_Gio_Cong_7_Ngay'!$B:$B,0))),""))</f>
      </c>
      <c r="E56" s="60">
        <f t="array" ref="E56">IF($B56="","",IFERROR(IF(INDEX('01_UngVien_PhongVan'!$D:$D,MATCH($B56,'01_UngVien_PhongVan'!$B:$B,0))=0,"",INDEX('01_UngVien_PhongVan'!$D:$D,MATCH($B56,'01_UngVien_PhongVan'!$B:$B,0))),""))</f>
      </c>
      <c r="F56" s="52">
        <f t="array" ref="F56">IF($B56="","",IFERROR(IF(INDEX('01_UngVien_PhongVan'!$F:$F,MATCH($B56,'01_UngVien_PhongVan'!$B:$B,0))=0,"",INDEX('01_UngVien_PhongVan'!$F:$F,MATCH($B56,'01_UngVien_PhongVan'!$B:$B,0))),""))</f>
      </c>
      <c r="G56" s="72">
        <f t="array" ref="G56">IF($B56="","",IFERROR(IF(INDEX('01_UngVien_PhongVan'!$G:$G,MATCH($B56,'01_UngVien_PhongVan'!$B:$B,0))=0,"",INDEX('01_UngVien_PhongVan'!$G:$G,MATCH($B56,'01_UngVien_PhongVan'!$B:$B,0))),""))</f>
      </c>
      <c r="H56" s="52">
        <f t="array" ref="H56">IF($B56="","",IFERROR(IF(INDEX('01_UngVien_PhongVan'!$H:$H,MATCH($B56,'01_UngVien_PhongVan'!$B:$B,0))=0,"",INDEX('01_UngVien_PhongVan'!$H:$H,MATCH($B56,'01_UngVien_PhongVan'!$B:$B,0))),""))</f>
      </c>
      <c r="I56" s="60">
        <f t="array" ref="I56">IF($B56="","",IFERROR(IF(INDEX('01_UngVien_PhongVan'!$I:$I,MATCH($B56,'01_UngVien_PhongVan'!$B:$B,0))=0,"",INDEX('01_UngVien_PhongVan'!$I:$I,MATCH($B56,'01_UngVien_PhongVan'!$B:$B,0))),""))</f>
      </c>
      <c r="J56" s="60">
        <f t="array" ref="J56">IF($B56="","",IFERROR(IF(INDEX('01_UngVien_PhongVan'!$J:$J,MATCH($B56,'01_UngVien_PhongVan'!$B:$B,0))=0,"",INDEX('01_UngVien_PhongVan'!$J:$J,MATCH($B56,'01_UngVien_PhongVan'!$B:$B,0))),""))</f>
      </c>
      <c r="K56" s="73">
        <f t="array" ref="K56">IF($B56="","",IFERROR(IF(INDEX('01_UngVien_PhongVan'!$K:$K,MATCH($B56,'01_UngVien_PhongVan'!$B:$B,0))=0,"",INDEX('01_UngVien_PhongVan'!$K:$K,MATCH($B56,'01_UngVien_PhongVan'!$B:$B,0))),""))</f>
      </c>
      <c r="L56" s="60">
        <f t="array" ref="L56">IF($B56="","",IFERROR(IF(INDEX('01_UngVien_PhongVan'!$L:$L,MATCH($B56,'01_UngVien_PhongVan'!$B:$B,0))=0,"",INDEX('01_UngVien_PhongVan'!$L:$L,MATCH($B56,'01_UngVien_PhongVan'!$B:$B,0))),""))</f>
      </c>
      <c r="M56" s="60">
        <f t="array" ref="M56">IF($B56="","",IFERROR(IF(INDEX('01_UngVien_PhongVan'!$E:$E,MATCH($B56,'01_UngVien_PhongVan'!$B:$B,0))=0,"",INDEX('01_UngVien_PhongVan'!$E:$E,MATCH($B56,'01_UngVien_PhongVan'!$B:$B,0))),""))</f>
      </c>
      <c r="N56" s="60">
        <f t="array" ref="N56">IF($B56="","",IFERROR(IF(INDEX('01_UngVien_PhongVan'!$M:$M,MATCH($B56,'01_UngVien_PhongVan'!$B:$B,0))=0,"",INDEX('01_UngVien_PhongVan'!$M:$M,MATCH($B56,'01_UngVien_PhongVan'!$B:$B,0))),""))</f>
      </c>
      <c r="O56" s="60">
        <f t="array" ref="O56">IF($B56="","",IFERROR(IF(INDEX('01_UngVien_PhongVan'!$N:$N,MATCH($B56,'01_UngVien_PhongVan'!$B:$B,0))=0,"",INDEX('01_UngVien_PhongVan'!$N:$N,MATCH($B56,'01_UngVien_PhongVan'!$B:$B,0))),""))</f>
      </c>
      <c r="P56" s="60">
        <f t="array" ref="P56">IF($B56="","",IFERROR(IF(INDEX('01_UngVien_PhongVan'!$O:$O,MATCH($B56,'01_UngVien_PhongVan'!$B:$B,0))=0,"",INDEX('01_UngVien_PhongVan'!$O:$O,MATCH($B56,'01_UngVien_PhongVan'!$B:$B,0))),""))</f>
      </c>
      <c r="Q56" s="60">
        <f t="array" ref="Q56">IF($B56="","",IFERROR(IF(INDEX('01_UngVien_PhongVan'!$P:$P,MATCH($B56,'01_UngVien_PhongVan'!$B:$B,0))=0,"",INDEX('01_UngVien_PhongVan'!$P:$P,MATCH($B56,'01_UngVien_PhongVan'!$B:$B,0))),""))</f>
      </c>
      <c r="R56" s="60">
        <f t="array" ref="R56">IF($B56="","",IFERROR(IF(INDEX('01_UngVien_PhongVan'!$Q:$Q,MATCH($B56,'01_UngVien_PhongVan'!$B:$B,0))=0,"",INDEX('01_UngVien_PhongVan'!$Q:$Q,MATCH($B56,'01_UngVien_PhongVan'!$B:$B,0))),""))</f>
      </c>
      <c r="S56" s="60">
        <f t="array" ref="S56">IF($B56="","",IFERROR(IF(INDEX('01_UngVien_PhongVan'!$R:$R,MATCH($B56,'01_UngVien_PhongVan'!$B:$B,0))=0,"",INDEX('01_UngVien_PhongVan'!$R:$R,MATCH($B56,'01_UngVien_PhongVan'!$B:$B,0))),""))</f>
      </c>
      <c r="T56" s="60">
        <f t="array" ref="T56">IF($B56="","",IFERROR(IF(INDEX('01_UngVien_PhongVan'!$U:$U,MATCH($B56,'01_UngVien_PhongVan'!$B:$B,0))=0,"",INDEX('01_UngVien_PhongVan'!$U:$U,MATCH($B56,'01_UngVien_PhongVan'!$B:$B,0))),""))</f>
      </c>
      <c r="U56" s="73">
        <f t="array" ref="U56">IF($B56="","",IFERROR(IF(INDEX('01_UngVien_PhongVan'!$C:$C,MATCH($B56,'01_UngVien_PhongVan'!$B:$B,0))=0,"",INDEX('01_UngVien_PhongVan'!$C:$C,MATCH($B56,'01_UngVien_PhongVan'!$B:$B,0))),""))</f>
      </c>
      <c r="V56" s="73">
        <f t="array" ref="V56">IF($B56="","",IFERROR(IF(INDEX('02_DS_Nhan_Viec'!$D:$D,MATCH($B56,'02_DS_Nhan_Viec'!$B:$B,0))=0,"",INDEX('02_DS_Nhan_Viec'!$D:$D,MATCH($B56,'02_DS_Nhan_Viec'!$B:$B,0))),""))</f>
      </c>
      <c r="W56" s="73">
        <f t="array" ref="W56">IF($B56="","",IFERROR(IF(INDEX('02_DS_Nhan_Viec'!$E:$E,MATCH($B56,'02_DS_Nhan_Viec'!$B:$B,0))=0,"",INDEX('02_DS_Nhan_Viec'!$E:$E,MATCH($B56,'02_DS_Nhan_Viec'!$B:$B,0))),""))</f>
      </c>
      <c r="X56" s="73">
        <f t="array" ref="X56">IF($C56="","",IFERROR(IF(INDEX('05_Theo_Doi_Gio_Cong_7_Ngay'!$P:$P,MATCH($C56,'05_Theo_Doi_Gio_Cong_7_Ngay'!$B:$B,0))=0,"",INDEX('05_Theo_Doi_Gio_Cong_7_Ngay'!$P:$P,MATCH($C56,'05_Theo_Doi_Gio_Cong_7_Ngay'!$B:$B,0))),""))</f>
      </c>
      <c r="Y56" s="60">
        <f t="array" ref="Y56">IF($C56="","",IFERROR(IF(INDEX('05_Theo_Doi_Gio_Cong_7_Ngay'!$M:$M,MATCH($C56,'05_Theo_Doi_Gio_Cong_7_Ngay'!$B:$B,0))=0,"",INDEX('05_Theo_Doi_Gio_Cong_7_Ngay'!$M:$M,MATCH($C56,'05_Theo_Doi_Gio_Cong_7_Ngay'!$B:$B,0))),""))</f>
      </c>
      <c r="Z56" s="60">
        <f t="array" ref="Z56">IF($C56="","",IFERROR(IF(INDEX('05_Theo_Doi_Gio_Cong_7_Ngay'!$Q:$Q,MATCH($C56,'05_Theo_Doi_Gio_Cong_7_Ngay'!$B:$B,0))=0,"",INDEX('05_Theo_Doi_Gio_Cong_7_Ngay'!$Q:$Q,MATCH($C56,'05_Theo_Doi_Gio_Cong_7_Ngay'!$B:$B,0))),""))</f>
      </c>
      <c r="AA56" s="60">
        <f t="array" ref="AA56">IF($B56="","",IFERROR(IF(INDEX('02_DS_Nhan_Viec'!$H:$H,MATCH($B56,'02_DS_Nhan_Viec'!$B:$B,0))=0,"",INDEX('02_DS_Nhan_Viec'!$H:$H,MATCH($B56,'02_DS_Nhan_Viec'!$B:$B,0))),""))</f>
      </c>
      <c r="AB56" s="60">
        <f t="array" ref="AB56">IF($B56="","",IFERROR(IF(INDEX('02_DS_Nhan_Viec'!$I:$I,MATCH($B56,'02_DS_Nhan_Viec'!$B:$B,0))=0,"",INDEX('02_DS_Nhan_Viec'!$I:$I,MATCH($B56,'02_DS_Nhan_Viec'!$B:$B,0))),""))</f>
      </c>
      <c r="AC56" s="61">
        <f t="array" ref="AC56">IF($B56="","",IF($C56="","Đang theo dõi",IF(OR(IFERROR(INDEX('05_Theo_Doi_Gio_Cong_7_Ngay'!$R:$R,MATCH($C56,'05_Theo_Doi_Gio_Cong_7_Ngay'!$B:$B,0)),"")="",IFERROR(INDEX('05_Theo_Doi_Gio_Cong_7_Ngay'!$R:$R,MATCH($C56,'05_Theo_Doi_Gio_Cong_7_Ngay'!$B:$B,0)),0)=0),"Đang theo dõi",IFERROR(INDEX('06_DS_Chinh_Thuc'!$K:$K,MATCH(IFERROR(INDEX('05_Theo_Doi_Gio_Cong_7_Ngay'!$R:$R,MATCH($C56,'05_Theo_Doi_Gio_Cong_7_Ngay'!$B:$B,0)),0),'06_DS_Chinh_Thuc'!$B:$B,0)),"Đang theo dõi"))))</f>
      </c>
    </row>
    <row r="57" ht="14.25" customHeight="1" spans="1:29" x14ac:dyDescent="0.25">
      <c r="A57" s="52">
        <f t="shared" si="0"/>
      </c>
      <c r="B57" s="52">
        <f t="array" ref="B57">IFERROR(INDEX('02_DS_Nhan_Viec'!$B:$B,MATCH(56,'02_DS_Nhan_Viec'!$M:$M,0)),"")</f>
      </c>
      <c r="C57" s="52">
        <f t="array" ref="C57">IF($B57="","",IFERROR(IF(INDEX('02_DS_Nhan_Viec'!$J:$J,MATCH($B57,'02_DS_Nhan_Viec'!$B:$B,0))=0,"",INDEX('02_DS_Nhan_Viec'!$J:$J,MATCH($B57,'02_DS_Nhan_Viec'!$B:$B,0))),""))</f>
      </c>
      <c r="D57" s="52">
        <f t="array" ref="D57">IF($C57="","",IFERROR(IF(INDEX('05_Theo_Doi_Gio_Cong_7_Ngay'!$R:$R,MATCH($C57,'05_Theo_Doi_Gio_Cong_7_Ngay'!$B:$B,0))=0,"",INDEX('05_Theo_Doi_Gio_Cong_7_Ngay'!$R:$R,MATCH($C57,'05_Theo_Doi_Gio_Cong_7_Ngay'!$B:$B,0))),""))</f>
      </c>
      <c r="E57" s="60">
        <f t="array" ref="E57">IF($B57="","",IFERROR(IF(INDEX('01_UngVien_PhongVan'!$D:$D,MATCH($B57,'01_UngVien_PhongVan'!$B:$B,0))=0,"",INDEX('01_UngVien_PhongVan'!$D:$D,MATCH($B57,'01_UngVien_PhongVan'!$B:$B,0))),""))</f>
      </c>
      <c r="F57" s="52">
        <f t="array" ref="F57">IF($B57="","",IFERROR(IF(INDEX('01_UngVien_PhongVan'!$F:$F,MATCH($B57,'01_UngVien_PhongVan'!$B:$B,0))=0,"",INDEX('01_UngVien_PhongVan'!$F:$F,MATCH($B57,'01_UngVien_PhongVan'!$B:$B,0))),""))</f>
      </c>
      <c r="G57" s="72">
        <f t="array" ref="G57">IF($B57="","",IFERROR(IF(INDEX('01_UngVien_PhongVan'!$G:$G,MATCH($B57,'01_UngVien_PhongVan'!$B:$B,0))=0,"",INDEX('01_UngVien_PhongVan'!$G:$G,MATCH($B57,'01_UngVien_PhongVan'!$B:$B,0))),""))</f>
      </c>
      <c r="H57" s="52">
        <f t="array" ref="H57">IF($B57="","",IFERROR(IF(INDEX('01_UngVien_PhongVan'!$H:$H,MATCH($B57,'01_UngVien_PhongVan'!$B:$B,0))=0,"",INDEX('01_UngVien_PhongVan'!$H:$H,MATCH($B57,'01_UngVien_PhongVan'!$B:$B,0))),""))</f>
      </c>
      <c r="I57" s="60">
        <f t="array" ref="I57">IF($B57="","",IFERROR(IF(INDEX('01_UngVien_PhongVan'!$I:$I,MATCH($B57,'01_UngVien_PhongVan'!$B:$B,0))=0,"",INDEX('01_UngVien_PhongVan'!$I:$I,MATCH($B57,'01_UngVien_PhongVan'!$B:$B,0))),""))</f>
      </c>
      <c r="J57" s="60">
        <f t="array" ref="J57">IF($B57="","",IFERROR(IF(INDEX('01_UngVien_PhongVan'!$J:$J,MATCH($B57,'01_UngVien_PhongVan'!$B:$B,0))=0,"",INDEX('01_UngVien_PhongVan'!$J:$J,MATCH($B57,'01_UngVien_PhongVan'!$B:$B,0))),""))</f>
      </c>
      <c r="K57" s="73">
        <f t="array" ref="K57">IF($B57="","",IFERROR(IF(INDEX('01_UngVien_PhongVan'!$K:$K,MATCH($B57,'01_UngVien_PhongVan'!$B:$B,0))=0,"",INDEX('01_UngVien_PhongVan'!$K:$K,MATCH($B57,'01_UngVien_PhongVan'!$B:$B,0))),""))</f>
      </c>
      <c r="L57" s="60">
        <f t="array" ref="L57">IF($B57="","",IFERROR(IF(INDEX('01_UngVien_PhongVan'!$L:$L,MATCH($B57,'01_UngVien_PhongVan'!$B:$B,0))=0,"",INDEX('01_UngVien_PhongVan'!$L:$L,MATCH($B57,'01_UngVien_PhongVan'!$B:$B,0))),""))</f>
      </c>
      <c r="M57" s="60">
        <f t="array" ref="M57">IF($B57="","",IFERROR(IF(INDEX('01_UngVien_PhongVan'!$E:$E,MATCH($B57,'01_UngVien_PhongVan'!$B:$B,0))=0,"",INDEX('01_UngVien_PhongVan'!$E:$E,MATCH($B57,'01_UngVien_PhongVan'!$B:$B,0))),""))</f>
      </c>
      <c r="N57" s="60">
        <f t="array" ref="N57">IF($B57="","",IFERROR(IF(INDEX('01_UngVien_PhongVan'!$M:$M,MATCH($B57,'01_UngVien_PhongVan'!$B:$B,0))=0,"",INDEX('01_UngVien_PhongVan'!$M:$M,MATCH($B57,'01_UngVien_PhongVan'!$B:$B,0))),""))</f>
      </c>
      <c r="O57" s="60">
        <f t="array" ref="O57">IF($B57="","",IFERROR(IF(INDEX('01_UngVien_PhongVan'!$N:$N,MATCH($B57,'01_UngVien_PhongVan'!$B:$B,0))=0,"",INDEX('01_UngVien_PhongVan'!$N:$N,MATCH($B57,'01_UngVien_PhongVan'!$B:$B,0))),""))</f>
      </c>
      <c r="P57" s="60">
        <f t="array" ref="P57">IF($B57="","",IFERROR(IF(INDEX('01_UngVien_PhongVan'!$O:$O,MATCH($B57,'01_UngVien_PhongVan'!$B:$B,0))=0,"",INDEX('01_UngVien_PhongVan'!$O:$O,MATCH($B57,'01_UngVien_PhongVan'!$B:$B,0))),""))</f>
      </c>
      <c r="Q57" s="60">
        <f t="array" ref="Q57">IF($B57="","",IFERROR(IF(INDEX('01_UngVien_PhongVan'!$P:$P,MATCH($B57,'01_UngVien_PhongVan'!$B:$B,0))=0,"",INDEX('01_UngVien_PhongVan'!$P:$P,MATCH($B57,'01_UngVien_PhongVan'!$B:$B,0))),""))</f>
      </c>
      <c r="R57" s="60">
        <f t="array" ref="R57">IF($B57="","",IFERROR(IF(INDEX('01_UngVien_PhongVan'!$Q:$Q,MATCH($B57,'01_UngVien_PhongVan'!$B:$B,0))=0,"",INDEX('01_UngVien_PhongVan'!$Q:$Q,MATCH($B57,'01_UngVien_PhongVan'!$B:$B,0))),""))</f>
      </c>
      <c r="S57" s="60">
        <f t="array" ref="S57">IF($B57="","",IFERROR(IF(INDEX('01_UngVien_PhongVan'!$R:$R,MATCH($B57,'01_UngVien_PhongVan'!$B:$B,0))=0,"",INDEX('01_UngVien_PhongVan'!$R:$R,MATCH($B57,'01_UngVien_PhongVan'!$B:$B,0))),""))</f>
      </c>
      <c r="T57" s="60">
        <f t="array" ref="T57">IF($B57="","",IFERROR(IF(INDEX('01_UngVien_PhongVan'!$U:$U,MATCH($B57,'01_UngVien_PhongVan'!$B:$B,0))=0,"",INDEX('01_UngVien_PhongVan'!$U:$U,MATCH($B57,'01_UngVien_PhongVan'!$B:$B,0))),""))</f>
      </c>
      <c r="U57" s="73">
        <f t="array" ref="U57">IF($B57="","",IFERROR(IF(INDEX('01_UngVien_PhongVan'!$C:$C,MATCH($B57,'01_UngVien_PhongVan'!$B:$B,0))=0,"",INDEX('01_UngVien_PhongVan'!$C:$C,MATCH($B57,'01_UngVien_PhongVan'!$B:$B,0))),""))</f>
      </c>
      <c r="V57" s="73">
        <f t="array" ref="V57">IF($B57="","",IFERROR(IF(INDEX('02_DS_Nhan_Viec'!$D:$D,MATCH($B57,'02_DS_Nhan_Viec'!$B:$B,0))=0,"",INDEX('02_DS_Nhan_Viec'!$D:$D,MATCH($B57,'02_DS_Nhan_Viec'!$B:$B,0))),""))</f>
      </c>
      <c r="W57" s="73">
        <f t="array" ref="W57">IF($B57="","",IFERROR(IF(INDEX('02_DS_Nhan_Viec'!$E:$E,MATCH($B57,'02_DS_Nhan_Viec'!$B:$B,0))=0,"",INDEX('02_DS_Nhan_Viec'!$E:$E,MATCH($B57,'02_DS_Nhan_Viec'!$B:$B,0))),""))</f>
      </c>
      <c r="X57" s="73">
        <f t="array" ref="X57">IF($C57="","",IFERROR(IF(INDEX('05_Theo_Doi_Gio_Cong_7_Ngay'!$P:$P,MATCH($C57,'05_Theo_Doi_Gio_Cong_7_Ngay'!$B:$B,0))=0,"",INDEX('05_Theo_Doi_Gio_Cong_7_Ngay'!$P:$P,MATCH($C57,'05_Theo_Doi_Gio_Cong_7_Ngay'!$B:$B,0))),""))</f>
      </c>
      <c r="Y57" s="60">
        <f t="array" ref="Y57">IF($C57="","",IFERROR(IF(INDEX('05_Theo_Doi_Gio_Cong_7_Ngay'!$M:$M,MATCH($C57,'05_Theo_Doi_Gio_Cong_7_Ngay'!$B:$B,0))=0,"",INDEX('05_Theo_Doi_Gio_Cong_7_Ngay'!$M:$M,MATCH($C57,'05_Theo_Doi_Gio_Cong_7_Ngay'!$B:$B,0))),""))</f>
      </c>
      <c r="Z57" s="60">
        <f t="array" ref="Z57">IF($C57="","",IFERROR(IF(INDEX('05_Theo_Doi_Gio_Cong_7_Ngay'!$Q:$Q,MATCH($C57,'05_Theo_Doi_Gio_Cong_7_Ngay'!$B:$B,0))=0,"",INDEX('05_Theo_Doi_Gio_Cong_7_Ngay'!$Q:$Q,MATCH($C57,'05_Theo_Doi_Gio_Cong_7_Ngay'!$B:$B,0))),""))</f>
      </c>
      <c r="AA57" s="60">
        <f t="array" ref="AA57">IF($B57="","",IFERROR(IF(INDEX('02_DS_Nhan_Viec'!$H:$H,MATCH($B57,'02_DS_Nhan_Viec'!$B:$B,0))=0,"",INDEX('02_DS_Nhan_Viec'!$H:$H,MATCH($B57,'02_DS_Nhan_Viec'!$B:$B,0))),""))</f>
      </c>
      <c r="AB57" s="60">
        <f t="array" ref="AB57">IF($B57="","",IFERROR(IF(INDEX('02_DS_Nhan_Viec'!$I:$I,MATCH($B57,'02_DS_Nhan_Viec'!$B:$B,0))=0,"",INDEX('02_DS_Nhan_Viec'!$I:$I,MATCH($B57,'02_DS_Nhan_Viec'!$B:$B,0))),""))</f>
      </c>
      <c r="AC57" s="61">
        <f t="array" ref="AC57">IF($B57="","",IF($C57="","Đang theo dõi",IF(OR(IFERROR(INDEX('05_Theo_Doi_Gio_Cong_7_Ngay'!$R:$R,MATCH($C57,'05_Theo_Doi_Gio_Cong_7_Ngay'!$B:$B,0)),"")="",IFERROR(INDEX('05_Theo_Doi_Gio_Cong_7_Ngay'!$R:$R,MATCH($C57,'05_Theo_Doi_Gio_Cong_7_Ngay'!$B:$B,0)),0)=0),"Đang theo dõi",IFERROR(INDEX('06_DS_Chinh_Thuc'!$K:$K,MATCH(IFERROR(INDEX('05_Theo_Doi_Gio_Cong_7_Ngay'!$R:$R,MATCH($C57,'05_Theo_Doi_Gio_Cong_7_Ngay'!$B:$B,0)),0),'06_DS_Chinh_Thuc'!$B:$B,0)),"Đang theo dõi"))))</f>
      </c>
    </row>
    <row r="58" ht="14.25" customHeight="1" spans="1:29" x14ac:dyDescent="0.25">
      <c r="A58" s="52">
        <f t="shared" si="0"/>
      </c>
      <c r="B58" s="52">
        <f t="array" ref="B58">IFERROR(INDEX('02_DS_Nhan_Viec'!$B:$B,MATCH(57,'02_DS_Nhan_Viec'!$M:$M,0)),"")</f>
      </c>
      <c r="C58" s="52">
        <f t="array" ref="C58">IF($B58="","",IFERROR(IF(INDEX('02_DS_Nhan_Viec'!$J:$J,MATCH($B58,'02_DS_Nhan_Viec'!$B:$B,0))=0,"",INDEX('02_DS_Nhan_Viec'!$J:$J,MATCH($B58,'02_DS_Nhan_Viec'!$B:$B,0))),""))</f>
      </c>
      <c r="D58" s="52">
        <f t="array" ref="D58">IF($C58="","",IFERROR(IF(INDEX('05_Theo_Doi_Gio_Cong_7_Ngay'!$R:$R,MATCH($C58,'05_Theo_Doi_Gio_Cong_7_Ngay'!$B:$B,0))=0,"",INDEX('05_Theo_Doi_Gio_Cong_7_Ngay'!$R:$R,MATCH($C58,'05_Theo_Doi_Gio_Cong_7_Ngay'!$B:$B,0))),""))</f>
      </c>
      <c r="E58" s="60">
        <f t="array" ref="E58">IF($B58="","",IFERROR(IF(INDEX('01_UngVien_PhongVan'!$D:$D,MATCH($B58,'01_UngVien_PhongVan'!$B:$B,0))=0,"",INDEX('01_UngVien_PhongVan'!$D:$D,MATCH($B58,'01_UngVien_PhongVan'!$B:$B,0))),""))</f>
      </c>
      <c r="F58" s="52">
        <f t="array" ref="F58">IF($B58="","",IFERROR(IF(INDEX('01_UngVien_PhongVan'!$F:$F,MATCH($B58,'01_UngVien_PhongVan'!$B:$B,0))=0,"",INDEX('01_UngVien_PhongVan'!$F:$F,MATCH($B58,'01_UngVien_PhongVan'!$B:$B,0))),""))</f>
      </c>
      <c r="G58" s="72">
        <f t="array" ref="G58">IF($B58="","",IFERROR(IF(INDEX('01_UngVien_PhongVan'!$G:$G,MATCH($B58,'01_UngVien_PhongVan'!$B:$B,0))=0,"",INDEX('01_UngVien_PhongVan'!$G:$G,MATCH($B58,'01_UngVien_PhongVan'!$B:$B,0))),""))</f>
      </c>
      <c r="H58" s="52">
        <f t="array" ref="H58">IF($B58="","",IFERROR(IF(INDEX('01_UngVien_PhongVan'!$H:$H,MATCH($B58,'01_UngVien_PhongVan'!$B:$B,0))=0,"",INDEX('01_UngVien_PhongVan'!$H:$H,MATCH($B58,'01_UngVien_PhongVan'!$B:$B,0))),""))</f>
      </c>
      <c r="I58" s="60">
        <f t="array" ref="I58">IF($B58="","",IFERROR(IF(INDEX('01_UngVien_PhongVan'!$I:$I,MATCH($B58,'01_UngVien_PhongVan'!$B:$B,0))=0,"",INDEX('01_UngVien_PhongVan'!$I:$I,MATCH($B58,'01_UngVien_PhongVan'!$B:$B,0))),""))</f>
      </c>
      <c r="J58" s="60">
        <f t="array" ref="J58">IF($B58="","",IFERROR(IF(INDEX('01_UngVien_PhongVan'!$J:$J,MATCH($B58,'01_UngVien_PhongVan'!$B:$B,0))=0,"",INDEX('01_UngVien_PhongVan'!$J:$J,MATCH($B58,'01_UngVien_PhongVan'!$B:$B,0))),""))</f>
      </c>
      <c r="K58" s="73">
        <f t="array" ref="K58">IF($B58="","",IFERROR(IF(INDEX('01_UngVien_PhongVan'!$K:$K,MATCH($B58,'01_UngVien_PhongVan'!$B:$B,0))=0,"",INDEX('01_UngVien_PhongVan'!$K:$K,MATCH($B58,'01_UngVien_PhongVan'!$B:$B,0))),""))</f>
      </c>
      <c r="L58" s="60">
        <f t="array" ref="L58">IF($B58="","",IFERROR(IF(INDEX('01_UngVien_PhongVan'!$L:$L,MATCH($B58,'01_UngVien_PhongVan'!$B:$B,0))=0,"",INDEX('01_UngVien_PhongVan'!$L:$L,MATCH($B58,'01_UngVien_PhongVan'!$B:$B,0))),""))</f>
      </c>
      <c r="M58" s="60">
        <f t="array" ref="M58">IF($B58="","",IFERROR(IF(INDEX('01_UngVien_PhongVan'!$E:$E,MATCH($B58,'01_UngVien_PhongVan'!$B:$B,0))=0,"",INDEX('01_UngVien_PhongVan'!$E:$E,MATCH($B58,'01_UngVien_PhongVan'!$B:$B,0))),""))</f>
      </c>
      <c r="N58" s="60">
        <f t="array" ref="N58">IF($B58="","",IFERROR(IF(INDEX('01_UngVien_PhongVan'!$M:$M,MATCH($B58,'01_UngVien_PhongVan'!$B:$B,0))=0,"",INDEX('01_UngVien_PhongVan'!$M:$M,MATCH($B58,'01_UngVien_PhongVan'!$B:$B,0))),""))</f>
      </c>
      <c r="O58" s="60">
        <f t="array" ref="O58">IF($B58="","",IFERROR(IF(INDEX('01_UngVien_PhongVan'!$N:$N,MATCH($B58,'01_UngVien_PhongVan'!$B:$B,0))=0,"",INDEX('01_UngVien_PhongVan'!$N:$N,MATCH($B58,'01_UngVien_PhongVan'!$B:$B,0))),""))</f>
      </c>
      <c r="P58" s="60">
        <f t="array" ref="P58">IF($B58="","",IFERROR(IF(INDEX('01_UngVien_PhongVan'!$O:$O,MATCH($B58,'01_UngVien_PhongVan'!$B:$B,0))=0,"",INDEX('01_UngVien_PhongVan'!$O:$O,MATCH($B58,'01_UngVien_PhongVan'!$B:$B,0))),""))</f>
      </c>
      <c r="Q58" s="60">
        <f t="array" ref="Q58">IF($B58="","",IFERROR(IF(INDEX('01_UngVien_PhongVan'!$P:$P,MATCH($B58,'01_UngVien_PhongVan'!$B:$B,0))=0,"",INDEX('01_UngVien_PhongVan'!$P:$P,MATCH($B58,'01_UngVien_PhongVan'!$B:$B,0))),""))</f>
      </c>
      <c r="R58" s="60">
        <f t="array" ref="R58">IF($B58="","",IFERROR(IF(INDEX('01_UngVien_PhongVan'!$Q:$Q,MATCH($B58,'01_UngVien_PhongVan'!$B:$B,0))=0,"",INDEX('01_UngVien_PhongVan'!$Q:$Q,MATCH($B58,'01_UngVien_PhongVan'!$B:$B,0))),""))</f>
      </c>
      <c r="S58" s="60">
        <f t="array" ref="S58">IF($B58="","",IFERROR(IF(INDEX('01_UngVien_PhongVan'!$R:$R,MATCH($B58,'01_UngVien_PhongVan'!$B:$B,0))=0,"",INDEX('01_UngVien_PhongVan'!$R:$R,MATCH($B58,'01_UngVien_PhongVan'!$B:$B,0))),""))</f>
      </c>
      <c r="T58" s="60">
        <f t="array" ref="T58">IF($B58="","",IFERROR(IF(INDEX('01_UngVien_PhongVan'!$U:$U,MATCH($B58,'01_UngVien_PhongVan'!$B:$B,0))=0,"",INDEX('01_UngVien_PhongVan'!$U:$U,MATCH($B58,'01_UngVien_PhongVan'!$B:$B,0))),""))</f>
      </c>
      <c r="U58" s="73">
        <f t="array" ref="U58">IF($B58="","",IFERROR(IF(INDEX('01_UngVien_PhongVan'!$C:$C,MATCH($B58,'01_UngVien_PhongVan'!$B:$B,0))=0,"",INDEX('01_UngVien_PhongVan'!$C:$C,MATCH($B58,'01_UngVien_PhongVan'!$B:$B,0))),""))</f>
      </c>
      <c r="V58" s="73">
        <f t="array" ref="V58">IF($B58="","",IFERROR(IF(INDEX('02_DS_Nhan_Viec'!$D:$D,MATCH($B58,'02_DS_Nhan_Viec'!$B:$B,0))=0,"",INDEX('02_DS_Nhan_Viec'!$D:$D,MATCH($B58,'02_DS_Nhan_Viec'!$B:$B,0))),""))</f>
      </c>
      <c r="W58" s="73">
        <f t="array" ref="W58">IF($B58="","",IFERROR(IF(INDEX('02_DS_Nhan_Viec'!$E:$E,MATCH($B58,'02_DS_Nhan_Viec'!$B:$B,0))=0,"",INDEX('02_DS_Nhan_Viec'!$E:$E,MATCH($B58,'02_DS_Nhan_Viec'!$B:$B,0))),""))</f>
      </c>
      <c r="X58" s="73">
        <f t="array" ref="X58">IF($C58="","",IFERROR(IF(INDEX('05_Theo_Doi_Gio_Cong_7_Ngay'!$P:$P,MATCH($C58,'05_Theo_Doi_Gio_Cong_7_Ngay'!$B:$B,0))=0,"",INDEX('05_Theo_Doi_Gio_Cong_7_Ngay'!$P:$P,MATCH($C58,'05_Theo_Doi_Gio_Cong_7_Ngay'!$B:$B,0))),""))</f>
      </c>
      <c r="Y58" s="60">
        <f t="array" ref="Y58">IF($C58="","",IFERROR(IF(INDEX('05_Theo_Doi_Gio_Cong_7_Ngay'!$M:$M,MATCH($C58,'05_Theo_Doi_Gio_Cong_7_Ngay'!$B:$B,0))=0,"",INDEX('05_Theo_Doi_Gio_Cong_7_Ngay'!$M:$M,MATCH($C58,'05_Theo_Doi_Gio_Cong_7_Ngay'!$B:$B,0))),""))</f>
      </c>
      <c r="Z58" s="60">
        <f t="array" ref="Z58">IF($C58="","",IFERROR(IF(INDEX('05_Theo_Doi_Gio_Cong_7_Ngay'!$Q:$Q,MATCH($C58,'05_Theo_Doi_Gio_Cong_7_Ngay'!$B:$B,0))=0,"",INDEX('05_Theo_Doi_Gio_Cong_7_Ngay'!$Q:$Q,MATCH($C58,'05_Theo_Doi_Gio_Cong_7_Ngay'!$B:$B,0))),""))</f>
      </c>
      <c r="AA58" s="60">
        <f t="array" ref="AA58">IF($B58="","",IFERROR(IF(INDEX('02_DS_Nhan_Viec'!$H:$H,MATCH($B58,'02_DS_Nhan_Viec'!$B:$B,0))=0,"",INDEX('02_DS_Nhan_Viec'!$H:$H,MATCH($B58,'02_DS_Nhan_Viec'!$B:$B,0))),""))</f>
      </c>
      <c r="AB58" s="60">
        <f t="array" ref="AB58">IF($B58="","",IFERROR(IF(INDEX('02_DS_Nhan_Viec'!$I:$I,MATCH($B58,'02_DS_Nhan_Viec'!$B:$B,0))=0,"",INDEX('02_DS_Nhan_Viec'!$I:$I,MATCH($B58,'02_DS_Nhan_Viec'!$B:$B,0))),""))</f>
      </c>
      <c r="AC58" s="61">
        <f t="array" ref="AC58">IF($B58="","",IF($C58="","Đang theo dõi",IF(OR(IFERROR(INDEX('05_Theo_Doi_Gio_Cong_7_Ngay'!$R:$R,MATCH($C58,'05_Theo_Doi_Gio_Cong_7_Ngay'!$B:$B,0)),"")="",IFERROR(INDEX('05_Theo_Doi_Gio_Cong_7_Ngay'!$R:$R,MATCH($C58,'05_Theo_Doi_Gio_Cong_7_Ngay'!$B:$B,0)),0)=0),"Đang theo dõi",IFERROR(INDEX('06_DS_Chinh_Thuc'!$K:$K,MATCH(IFERROR(INDEX('05_Theo_Doi_Gio_Cong_7_Ngay'!$R:$R,MATCH($C58,'05_Theo_Doi_Gio_Cong_7_Ngay'!$B:$B,0)),0),'06_DS_Chinh_Thuc'!$B:$B,0)),"Đang theo dõi"))))</f>
      </c>
    </row>
    <row r="59" ht="14.25" customHeight="1" spans="1:29" x14ac:dyDescent="0.25">
      <c r="A59" s="52">
        <f t="shared" si="0"/>
      </c>
      <c r="B59" s="52">
        <f t="array" ref="B59">IFERROR(INDEX('02_DS_Nhan_Viec'!$B:$B,MATCH(58,'02_DS_Nhan_Viec'!$M:$M,0)),"")</f>
      </c>
      <c r="C59" s="52">
        <f t="array" ref="C59">IF($B59="","",IFERROR(IF(INDEX('02_DS_Nhan_Viec'!$J:$J,MATCH($B59,'02_DS_Nhan_Viec'!$B:$B,0))=0,"",INDEX('02_DS_Nhan_Viec'!$J:$J,MATCH($B59,'02_DS_Nhan_Viec'!$B:$B,0))),""))</f>
      </c>
      <c r="D59" s="52">
        <f t="array" ref="D59">IF($C59="","",IFERROR(IF(INDEX('05_Theo_Doi_Gio_Cong_7_Ngay'!$R:$R,MATCH($C59,'05_Theo_Doi_Gio_Cong_7_Ngay'!$B:$B,0))=0,"",INDEX('05_Theo_Doi_Gio_Cong_7_Ngay'!$R:$R,MATCH($C59,'05_Theo_Doi_Gio_Cong_7_Ngay'!$B:$B,0))),""))</f>
      </c>
      <c r="E59" s="60">
        <f t="array" ref="E59">IF($B59="","",IFERROR(IF(INDEX('01_UngVien_PhongVan'!$D:$D,MATCH($B59,'01_UngVien_PhongVan'!$B:$B,0))=0,"",INDEX('01_UngVien_PhongVan'!$D:$D,MATCH($B59,'01_UngVien_PhongVan'!$B:$B,0))),""))</f>
      </c>
      <c r="F59" s="52">
        <f t="array" ref="F59">IF($B59="","",IFERROR(IF(INDEX('01_UngVien_PhongVan'!$F:$F,MATCH($B59,'01_UngVien_PhongVan'!$B:$B,0))=0,"",INDEX('01_UngVien_PhongVan'!$F:$F,MATCH($B59,'01_UngVien_PhongVan'!$B:$B,0))),""))</f>
      </c>
      <c r="G59" s="72">
        <f t="array" ref="G59">IF($B59="","",IFERROR(IF(INDEX('01_UngVien_PhongVan'!$G:$G,MATCH($B59,'01_UngVien_PhongVan'!$B:$B,0))=0,"",INDEX('01_UngVien_PhongVan'!$G:$G,MATCH($B59,'01_UngVien_PhongVan'!$B:$B,0))),""))</f>
      </c>
      <c r="H59" s="52">
        <f t="array" ref="H59">IF($B59="","",IFERROR(IF(INDEX('01_UngVien_PhongVan'!$H:$H,MATCH($B59,'01_UngVien_PhongVan'!$B:$B,0))=0,"",INDEX('01_UngVien_PhongVan'!$H:$H,MATCH($B59,'01_UngVien_PhongVan'!$B:$B,0))),""))</f>
      </c>
      <c r="I59" s="60">
        <f t="array" ref="I59">IF($B59="","",IFERROR(IF(INDEX('01_UngVien_PhongVan'!$I:$I,MATCH($B59,'01_UngVien_PhongVan'!$B:$B,0))=0,"",INDEX('01_UngVien_PhongVan'!$I:$I,MATCH($B59,'01_UngVien_PhongVan'!$B:$B,0))),""))</f>
      </c>
      <c r="J59" s="60">
        <f t="array" ref="J59">IF($B59="","",IFERROR(IF(INDEX('01_UngVien_PhongVan'!$J:$J,MATCH($B59,'01_UngVien_PhongVan'!$B:$B,0))=0,"",INDEX('01_UngVien_PhongVan'!$J:$J,MATCH($B59,'01_UngVien_PhongVan'!$B:$B,0))),""))</f>
      </c>
      <c r="K59" s="73">
        <f t="array" ref="K59">IF($B59="","",IFERROR(IF(INDEX('01_UngVien_PhongVan'!$K:$K,MATCH($B59,'01_UngVien_PhongVan'!$B:$B,0))=0,"",INDEX('01_UngVien_PhongVan'!$K:$K,MATCH($B59,'01_UngVien_PhongVan'!$B:$B,0))),""))</f>
      </c>
      <c r="L59" s="60">
        <f t="array" ref="L59">IF($B59="","",IFERROR(IF(INDEX('01_UngVien_PhongVan'!$L:$L,MATCH($B59,'01_UngVien_PhongVan'!$B:$B,0))=0,"",INDEX('01_UngVien_PhongVan'!$L:$L,MATCH($B59,'01_UngVien_PhongVan'!$B:$B,0))),""))</f>
      </c>
      <c r="M59" s="60">
        <f t="array" ref="M59">IF($B59="","",IFERROR(IF(INDEX('01_UngVien_PhongVan'!$E:$E,MATCH($B59,'01_UngVien_PhongVan'!$B:$B,0))=0,"",INDEX('01_UngVien_PhongVan'!$E:$E,MATCH($B59,'01_UngVien_PhongVan'!$B:$B,0))),""))</f>
      </c>
      <c r="N59" s="60">
        <f t="array" ref="N59">IF($B59="","",IFERROR(IF(INDEX('01_UngVien_PhongVan'!$M:$M,MATCH($B59,'01_UngVien_PhongVan'!$B:$B,0))=0,"",INDEX('01_UngVien_PhongVan'!$M:$M,MATCH($B59,'01_UngVien_PhongVan'!$B:$B,0))),""))</f>
      </c>
      <c r="O59" s="60">
        <f t="array" ref="O59">IF($B59="","",IFERROR(IF(INDEX('01_UngVien_PhongVan'!$N:$N,MATCH($B59,'01_UngVien_PhongVan'!$B:$B,0))=0,"",INDEX('01_UngVien_PhongVan'!$N:$N,MATCH($B59,'01_UngVien_PhongVan'!$B:$B,0))),""))</f>
      </c>
      <c r="P59" s="60">
        <f t="array" ref="P59">IF($B59="","",IFERROR(IF(INDEX('01_UngVien_PhongVan'!$O:$O,MATCH($B59,'01_UngVien_PhongVan'!$B:$B,0))=0,"",INDEX('01_UngVien_PhongVan'!$O:$O,MATCH($B59,'01_UngVien_PhongVan'!$B:$B,0))),""))</f>
      </c>
      <c r="Q59" s="60">
        <f t="array" ref="Q59">IF($B59="","",IFERROR(IF(INDEX('01_UngVien_PhongVan'!$P:$P,MATCH($B59,'01_UngVien_PhongVan'!$B:$B,0))=0,"",INDEX('01_UngVien_PhongVan'!$P:$P,MATCH($B59,'01_UngVien_PhongVan'!$B:$B,0))),""))</f>
      </c>
      <c r="R59" s="60">
        <f t="array" ref="R59">IF($B59="","",IFERROR(IF(INDEX('01_UngVien_PhongVan'!$Q:$Q,MATCH($B59,'01_UngVien_PhongVan'!$B:$B,0))=0,"",INDEX('01_UngVien_PhongVan'!$Q:$Q,MATCH($B59,'01_UngVien_PhongVan'!$B:$B,0))),""))</f>
      </c>
      <c r="S59" s="60">
        <f t="array" ref="S59">IF($B59="","",IFERROR(IF(INDEX('01_UngVien_PhongVan'!$R:$R,MATCH($B59,'01_UngVien_PhongVan'!$B:$B,0))=0,"",INDEX('01_UngVien_PhongVan'!$R:$R,MATCH($B59,'01_UngVien_PhongVan'!$B:$B,0))),""))</f>
      </c>
      <c r="T59" s="60">
        <f t="array" ref="T59">IF($B59="","",IFERROR(IF(INDEX('01_UngVien_PhongVan'!$U:$U,MATCH($B59,'01_UngVien_PhongVan'!$B:$B,0))=0,"",INDEX('01_UngVien_PhongVan'!$U:$U,MATCH($B59,'01_UngVien_PhongVan'!$B:$B,0))),""))</f>
      </c>
      <c r="U59" s="73">
        <f t="array" ref="U59">IF($B59="","",IFERROR(IF(INDEX('01_UngVien_PhongVan'!$C:$C,MATCH($B59,'01_UngVien_PhongVan'!$B:$B,0))=0,"",INDEX('01_UngVien_PhongVan'!$C:$C,MATCH($B59,'01_UngVien_PhongVan'!$B:$B,0))),""))</f>
      </c>
      <c r="V59" s="73">
        <f t="array" ref="V59">IF($B59="","",IFERROR(IF(INDEX('02_DS_Nhan_Viec'!$D:$D,MATCH($B59,'02_DS_Nhan_Viec'!$B:$B,0))=0,"",INDEX('02_DS_Nhan_Viec'!$D:$D,MATCH($B59,'02_DS_Nhan_Viec'!$B:$B,0))),""))</f>
      </c>
      <c r="W59" s="73">
        <f t="array" ref="W59">IF($B59="","",IFERROR(IF(INDEX('02_DS_Nhan_Viec'!$E:$E,MATCH($B59,'02_DS_Nhan_Viec'!$B:$B,0))=0,"",INDEX('02_DS_Nhan_Viec'!$E:$E,MATCH($B59,'02_DS_Nhan_Viec'!$B:$B,0))),""))</f>
      </c>
      <c r="X59" s="73">
        <f t="array" ref="X59">IF($C59="","",IFERROR(IF(INDEX('05_Theo_Doi_Gio_Cong_7_Ngay'!$P:$P,MATCH($C59,'05_Theo_Doi_Gio_Cong_7_Ngay'!$B:$B,0))=0,"",INDEX('05_Theo_Doi_Gio_Cong_7_Ngay'!$P:$P,MATCH($C59,'05_Theo_Doi_Gio_Cong_7_Ngay'!$B:$B,0))),""))</f>
      </c>
      <c r="Y59" s="60">
        <f t="array" ref="Y59">IF($C59="","",IFERROR(IF(INDEX('05_Theo_Doi_Gio_Cong_7_Ngay'!$M:$M,MATCH($C59,'05_Theo_Doi_Gio_Cong_7_Ngay'!$B:$B,0))=0,"",INDEX('05_Theo_Doi_Gio_Cong_7_Ngay'!$M:$M,MATCH($C59,'05_Theo_Doi_Gio_Cong_7_Ngay'!$B:$B,0))),""))</f>
      </c>
      <c r="Z59" s="60">
        <f t="array" ref="Z59">IF($C59="","",IFERROR(IF(INDEX('05_Theo_Doi_Gio_Cong_7_Ngay'!$Q:$Q,MATCH($C59,'05_Theo_Doi_Gio_Cong_7_Ngay'!$B:$B,0))=0,"",INDEX('05_Theo_Doi_Gio_Cong_7_Ngay'!$Q:$Q,MATCH($C59,'05_Theo_Doi_Gio_Cong_7_Ngay'!$B:$B,0))),""))</f>
      </c>
      <c r="AA59" s="60">
        <f t="array" ref="AA59">IF($B59="","",IFERROR(IF(INDEX('02_DS_Nhan_Viec'!$H:$H,MATCH($B59,'02_DS_Nhan_Viec'!$B:$B,0))=0,"",INDEX('02_DS_Nhan_Viec'!$H:$H,MATCH($B59,'02_DS_Nhan_Viec'!$B:$B,0))),""))</f>
      </c>
      <c r="AB59" s="60">
        <f t="array" ref="AB59">IF($B59="","",IFERROR(IF(INDEX('02_DS_Nhan_Viec'!$I:$I,MATCH($B59,'02_DS_Nhan_Viec'!$B:$B,0))=0,"",INDEX('02_DS_Nhan_Viec'!$I:$I,MATCH($B59,'02_DS_Nhan_Viec'!$B:$B,0))),""))</f>
      </c>
      <c r="AC59" s="61">
        <f t="array" ref="AC59">IF($B59="","",IF($C59="","Đang theo dõi",IF(OR(IFERROR(INDEX('05_Theo_Doi_Gio_Cong_7_Ngay'!$R:$R,MATCH($C59,'05_Theo_Doi_Gio_Cong_7_Ngay'!$B:$B,0)),"")="",IFERROR(INDEX('05_Theo_Doi_Gio_Cong_7_Ngay'!$R:$R,MATCH($C59,'05_Theo_Doi_Gio_Cong_7_Ngay'!$B:$B,0)),0)=0),"Đang theo dõi",IFERROR(INDEX('06_DS_Chinh_Thuc'!$K:$K,MATCH(IFERROR(INDEX('05_Theo_Doi_Gio_Cong_7_Ngay'!$R:$R,MATCH($C59,'05_Theo_Doi_Gio_Cong_7_Ngay'!$B:$B,0)),0),'06_DS_Chinh_Thuc'!$B:$B,0)),"Đang theo dõi"))))</f>
      </c>
    </row>
    <row r="60" ht="14.25" customHeight="1" spans="1:29" x14ac:dyDescent="0.25">
      <c r="A60" s="52">
        <f t="shared" si="0"/>
      </c>
      <c r="B60" s="52">
        <f t="array" ref="B60">IFERROR(INDEX('02_DS_Nhan_Viec'!$B:$B,MATCH(59,'02_DS_Nhan_Viec'!$M:$M,0)),"")</f>
      </c>
      <c r="C60" s="52">
        <f t="array" ref="C60">IF($B60="","",IFERROR(IF(INDEX('02_DS_Nhan_Viec'!$J:$J,MATCH($B60,'02_DS_Nhan_Viec'!$B:$B,0))=0,"",INDEX('02_DS_Nhan_Viec'!$J:$J,MATCH($B60,'02_DS_Nhan_Viec'!$B:$B,0))),""))</f>
      </c>
      <c r="D60" s="52">
        <f t="array" ref="D60">IF($C60="","",IFERROR(IF(INDEX('05_Theo_Doi_Gio_Cong_7_Ngay'!$R:$R,MATCH($C60,'05_Theo_Doi_Gio_Cong_7_Ngay'!$B:$B,0))=0,"",INDEX('05_Theo_Doi_Gio_Cong_7_Ngay'!$R:$R,MATCH($C60,'05_Theo_Doi_Gio_Cong_7_Ngay'!$B:$B,0))),""))</f>
      </c>
      <c r="E60" s="60">
        <f t="array" ref="E60">IF($B60="","",IFERROR(IF(INDEX('01_UngVien_PhongVan'!$D:$D,MATCH($B60,'01_UngVien_PhongVan'!$B:$B,0))=0,"",INDEX('01_UngVien_PhongVan'!$D:$D,MATCH($B60,'01_UngVien_PhongVan'!$B:$B,0))),""))</f>
      </c>
      <c r="F60" s="52">
        <f t="array" ref="F60">IF($B60="","",IFERROR(IF(INDEX('01_UngVien_PhongVan'!$F:$F,MATCH($B60,'01_UngVien_PhongVan'!$B:$B,0))=0,"",INDEX('01_UngVien_PhongVan'!$F:$F,MATCH($B60,'01_UngVien_PhongVan'!$B:$B,0))),""))</f>
      </c>
      <c r="G60" s="72">
        <f t="array" ref="G60">IF($B60="","",IFERROR(IF(INDEX('01_UngVien_PhongVan'!$G:$G,MATCH($B60,'01_UngVien_PhongVan'!$B:$B,0))=0,"",INDEX('01_UngVien_PhongVan'!$G:$G,MATCH($B60,'01_UngVien_PhongVan'!$B:$B,0))),""))</f>
      </c>
      <c r="H60" s="52">
        <f t="array" ref="H60">IF($B60="","",IFERROR(IF(INDEX('01_UngVien_PhongVan'!$H:$H,MATCH($B60,'01_UngVien_PhongVan'!$B:$B,0))=0,"",INDEX('01_UngVien_PhongVan'!$H:$H,MATCH($B60,'01_UngVien_PhongVan'!$B:$B,0))),""))</f>
      </c>
      <c r="I60" s="60">
        <f t="array" ref="I60">IF($B60="","",IFERROR(IF(INDEX('01_UngVien_PhongVan'!$I:$I,MATCH($B60,'01_UngVien_PhongVan'!$B:$B,0))=0,"",INDEX('01_UngVien_PhongVan'!$I:$I,MATCH($B60,'01_UngVien_PhongVan'!$B:$B,0))),""))</f>
      </c>
      <c r="J60" s="60">
        <f t="array" ref="J60">IF($B60="","",IFERROR(IF(INDEX('01_UngVien_PhongVan'!$J:$J,MATCH($B60,'01_UngVien_PhongVan'!$B:$B,0))=0,"",INDEX('01_UngVien_PhongVan'!$J:$J,MATCH($B60,'01_UngVien_PhongVan'!$B:$B,0))),""))</f>
      </c>
      <c r="K60" s="73">
        <f t="array" ref="K60">IF($B60="","",IFERROR(IF(INDEX('01_UngVien_PhongVan'!$K:$K,MATCH($B60,'01_UngVien_PhongVan'!$B:$B,0))=0,"",INDEX('01_UngVien_PhongVan'!$K:$K,MATCH($B60,'01_UngVien_PhongVan'!$B:$B,0))),""))</f>
      </c>
      <c r="L60" s="60">
        <f t="array" ref="L60">IF($B60="","",IFERROR(IF(INDEX('01_UngVien_PhongVan'!$L:$L,MATCH($B60,'01_UngVien_PhongVan'!$B:$B,0))=0,"",INDEX('01_UngVien_PhongVan'!$L:$L,MATCH($B60,'01_UngVien_PhongVan'!$B:$B,0))),""))</f>
      </c>
      <c r="M60" s="60">
        <f t="array" ref="M60">IF($B60="","",IFERROR(IF(INDEX('01_UngVien_PhongVan'!$E:$E,MATCH($B60,'01_UngVien_PhongVan'!$B:$B,0))=0,"",INDEX('01_UngVien_PhongVan'!$E:$E,MATCH($B60,'01_UngVien_PhongVan'!$B:$B,0))),""))</f>
      </c>
      <c r="N60" s="60">
        <f t="array" ref="N60">IF($B60="","",IFERROR(IF(INDEX('01_UngVien_PhongVan'!$M:$M,MATCH($B60,'01_UngVien_PhongVan'!$B:$B,0))=0,"",INDEX('01_UngVien_PhongVan'!$M:$M,MATCH($B60,'01_UngVien_PhongVan'!$B:$B,0))),""))</f>
      </c>
      <c r="O60" s="60">
        <f t="array" ref="O60">IF($B60="","",IFERROR(IF(INDEX('01_UngVien_PhongVan'!$N:$N,MATCH($B60,'01_UngVien_PhongVan'!$B:$B,0))=0,"",INDEX('01_UngVien_PhongVan'!$N:$N,MATCH($B60,'01_UngVien_PhongVan'!$B:$B,0))),""))</f>
      </c>
      <c r="P60" s="60">
        <f t="array" ref="P60">IF($B60="","",IFERROR(IF(INDEX('01_UngVien_PhongVan'!$O:$O,MATCH($B60,'01_UngVien_PhongVan'!$B:$B,0))=0,"",INDEX('01_UngVien_PhongVan'!$O:$O,MATCH($B60,'01_UngVien_PhongVan'!$B:$B,0))),""))</f>
      </c>
      <c r="Q60" s="60">
        <f t="array" ref="Q60">IF($B60="","",IFERROR(IF(INDEX('01_UngVien_PhongVan'!$P:$P,MATCH($B60,'01_UngVien_PhongVan'!$B:$B,0))=0,"",INDEX('01_UngVien_PhongVan'!$P:$P,MATCH($B60,'01_UngVien_PhongVan'!$B:$B,0))),""))</f>
      </c>
      <c r="R60" s="60">
        <f t="array" ref="R60">IF($B60="","",IFERROR(IF(INDEX('01_UngVien_PhongVan'!$Q:$Q,MATCH($B60,'01_UngVien_PhongVan'!$B:$B,0))=0,"",INDEX('01_UngVien_PhongVan'!$Q:$Q,MATCH($B60,'01_UngVien_PhongVan'!$B:$B,0))),""))</f>
      </c>
      <c r="S60" s="60">
        <f t="array" ref="S60">IF($B60="","",IFERROR(IF(INDEX('01_UngVien_PhongVan'!$R:$R,MATCH($B60,'01_UngVien_PhongVan'!$B:$B,0))=0,"",INDEX('01_UngVien_PhongVan'!$R:$R,MATCH($B60,'01_UngVien_PhongVan'!$B:$B,0))),""))</f>
      </c>
      <c r="T60" s="60">
        <f t="array" ref="T60">IF($B60="","",IFERROR(IF(INDEX('01_UngVien_PhongVan'!$U:$U,MATCH($B60,'01_UngVien_PhongVan'!$B:$B,0))=0,"",INDEX('01_UngVien_PhongVan'!$U:$U,MATCH($B60,'01_UngVien_PhongVan'!$B:$B,0))),""))</f>
      </c>
      <c r="U60" s="73">
        <f t="array" ref="U60">IF($B60="","",IFERROR(IF(INDEX('01_UngVien_PhongVan'!$C:$C,MATCH($B60,'01_UngVien_PhongVan'!$B:$B,0))=0,"",INDEX('01_UngVien_PhongVan'!$C:$C,MATCH($B60,'01_UngVien_PhongVan'!$B:$B,0))),""))</f>
      </c>
      <c r="V60" s="73">
        <f t="array" ref="V60">IF($B60="","",IFERROR(IF(INDEX('02_DS_Nhan_Viec'!$D:$D,MATCH($B60,'02_DS_Nhan_Viec'!$B:$B,0))=0,"",INDEX('02_DS_Nhan_Viec'!$D:$D,MATCH($B60,'02_DS_Nhan_Viec'!$B:$B,0))),""))</f>
      </c>
      <c r="W60" s="73">
        <f t="array" ref="W60">IF($B60="","",IFERROR(IF(INDEX('02_DS_Nhan_Viec'!$E:$E,MATCH($B60,'02_DS_Nhan_Viec'!$B:$B,0))=0,"",INDEX('02_DS_Nhan_Viec'!$E:$E,MATCH($B60,'02_DS_Nhan_Viec'!$B:$B,0))),""))</f>
      </c>
      <c r="X60" s="73">
        <f t="array" ref="X60">IF($C60="","",IFERROR(IF(INDEX('05_Theo_Doi_Gio_Cong_7_Ngay'!$P:$P,MATCH($C60,'05_Theo_Doi_Gio_Cong_7_Ngay'!$B:$B,0))=0,"",INDEX('05_Theo_Doi_Gio_Cong_7_Ngay'!$P:$P,MATCH($C60,'05_Theo_Doi_Gio_Cong_7_Ngay'!$B:$B,0))),""))</f>
      </c>
      <c r="Y60" s="60">
        <f t="array" ref="Y60">IF($C60="","",IFERROR(IF(INDEX('05_Theo_Doi_Gio_Cong_7_Ngay'!$M:$M,MATCH($C60,'05_Theo_Doi_Gio_Cong_7_Ngay'!$B:$B,0))=0,"",INDEX('05_Theo_Doi_Gio_Cong_7_Ngay'!$M:$M,MATCH($C60,'05_Theo_Doi_Gio_Cong_7_Ngay'!$B:$B,0))),""))</f>
      </c>
      <c r="Z60" s="60">
        <f t="array" ref="Z60">IF($C60="","",IFERROR(IF(INDEX('05_Theo_Doi_Gio_Cong_7_Ngay'!$Q:$Q,MATCH($C60,'05_Theo_Doi_Gio_Cong_7_Ngay'!$B:$B,0))=0,"",INDEX('05_Theo_Doi_Gio_Cong_7_Ngay'!$Q:$Q,MATCH($C60,'05_Theo_Doi_Gio_Cong_7_Ngay'!$B:$B,0))),""))</f>
      </c>
      <c r="AA60" s="60">
        <f t="array" ref="AA60">IF($B60="","",IFERROR(IF(INDEX('02_DS_Nhan_Viec'!$H:$H,MATCH($B60,'02_DS_Nhan_Viec'!$B:$B,0))=0,"",INDEX('02_DS_Nhan_Viec'!$H:$H,MATCH($B60,'02_DS_Nhan_Viec'!$B:$B,0))),""))</f>
      </c>
      <c r="AB60" s="60">
        <f t="array" ref="AB60">IF($B60="","",IFERROR(IF(INDEX('02_DS_Nhan_Viec'!$I:$I,MATCH($B60,'02_DS_Nhan_Viec'!$B:$B,0))=0,"",INDEX('02_DS_Nhan_Viec'!$I:$I,MATCH($B60,'02_DS_Nhan_Viec'!$B:$B,0))),""))</f>
      </c>
      <c r="AC60" s="61">
        <f t="array" ref="AC60">IF($B60="","",IF($C60="","Đang theo dõi",IF(OR(IFERROR(INDEX('05_Theo_Doi_Gio_Cong_7_Ngay'!$R:$R,MATCH($C60,'05_Theo_Doi_Gio_Cong_7_Ngay'!$B:$B,0)),"")="",IFERROR(INDEX('05_Theo_Doi_Gio_Cong_7_Ngay'!$R:$R,MATCH($C60,'05_Theo_Doi_Gio_Cong_7_Ngay'!$B:$B,0)),0)=0),"Đang theo dõi",IFERROR(INDEX('06_DS_Chinh_Thuc'!$K:$K,MATCH(IFERROR(INDEX('05_Theo_Doi_Gio_Cong_7_Ngay'!$R:$R,MATCH($C60,'05_Theo_Doi_Gio_Cong_7_Ngay'!$B:$B,0)),0),'06_DS_Chinh_Thuc'!$B:$B,0)),"Đang theo dõi"))))</f>
      </c>
    </row>
    <row r="61" ht="14.25" customHeight="1" spans="1:29" x14ac:dyDescent="0.25">
      <c r="A61" s="52">
        <f t="shared" si="0"/>
      </c>
      <c r="B61" s="52">
        <f t="array" ref="B61">IFERROR(INDEX('02_DS_Nhan_Viec'!$B:$B,MATCH(60,'02_DS_Nhan_Viec'!$M:$M,0)),"")</f>
      </c>
      <c r="C61" s="52">
        <f t="array" ref="C61">IF($B61="","",IFERROR(IF(INDEX('02_DS_Nhan_Viec'!$J:$J,MATCH($B61,'02_DS_Nhan_Viec'!$B:$B,0))=0,"",INDEX('02_DS_Nhan_Viec'!$J:$J,MATCH($B61,'02_DS_Nhan_Viec'!$B:$B,0))),""))</f>
      </c>
      <c r="D61" s="52">
        <f t="array" ref="D61">IF($C61="","",IFERROR(IF(INDEX('05_Theo_Doi_Gio_Cong_7_Ngay'!$R:$R,MATCH($C61,'05_Theo_Doi_Gio_Cong_7_Ngay'!$B:$B,0))=0,"",INDEX('05_Theo_Doi_Gio_Cong_7_Ngay'!$R:$R,MATCH($C61,'05_Theo_Doi_Gio_Cong_7_Ngay'!$B:$B,0))),""))</f>
      </c>
      <c r="E61" s="60">
        <f t="array" ref="E61">IF($B61="","",IFERROR(IF(INDEX('01_UngVien_PhongVan'!$D:$D,MATCH($B61,'01_UngVien_PhongVan'!$B:$B,0))=0,"",INDEX('01_UngVien_PhongVan'!$D:$D,MATCH($B61,'01_UngVien_PhongVan'!$B:$B,0))),""))</f>
      </c>
      <c r="F61" s="52">
        <f t="array" ref="F61">IF($B61="","",IFERROR(IF(INDEX('01_UngVien_PhongVan'!$F:$F,MATCH($B61,'01_UngVien_PhongVan'!$B:$B,0))=0,"",INDEX('01_UngVien_PhongVan'!$F:$F,MATCH($B61,'01_UngVien_PhongVan'!$B:$B,0))),""))</f>
      </c>
      <c r="G61" s="72">
        <f t="array" ref="G61">IF($B61="","",IFERROR(IF(INDEX('01_UngVien_PhongVan'!$G:$G,MATCH($B61,'01_UngVien_PhongVan'!$B:$B,0))=0,"",INDEX('01_UngVien_PhongVan'!$G:$G,MATCH($B61,'01_UngVien_PhongVan'!$B:$B,0))),""))</f>
      </c>
      <c r="H61" s="52">
        <f t="array" ref="H61">IF($B61="","",IFERROR(IF(INDEX('01_UngVien_PhongVan'!$H:$H,MATCH($B61,'01_UngVien_PhongVan'!$B:$B,0))=0,"",INDEX('01_UngVien_PhongVan'!$H:$H,MATCH($B61,'01_UngVien_PhongVan'!$B:$B,0))),""))</f>
      </c>
      <c r="I61" s="60">
        <f t="array" ref="I61">IF($B61="","",IFERROR(IF(INDEX('01_UngVien_PhongVan'!$I:$I,MATCH($B61,'01_UngVien_PhongVan'!$B:$B,0))=0,"",INDEX('01_UngVien_PhongVan'!$I:$I,MATCH($B61,'01_UngVien_PhongVan'!$B:$B,0))),""))</f>
      </c>
      <c r="J61" s="60">
        <f t="array" ref="J61">IF($B61="","",IFERROR(IF(INDEX('01_UngVien_PhongVan'!$J:$J,MATCH($B61,'01_UngVien_PhongVan'!$B:$B,0))=0,"",INDEX('01_UngVien_PhongVan'!$J:$J,MATCH($B61,'01_UngVien_PhongVan'!$B:$B,0))),""))</f>
      </c>
      <c r="K61" s="73">
        <f t="array" ref="K61">IF($B61="","",IFERROR(IF(INDEX('01_UngVien_PhongVan'!$K:$K,MATCH($B61,'01_UngVien_PhongVan'!$B:$B,0))=0,"",INDEX('01_UngVien_PhongVan'!$K:$K,MATCH($B61,'01_UngVien_PhongVan'!$B:$B,0))),""))</f>
      </c>
      <c r="L61" s="60">
        <f t="array" ref="L61">IF($B61="","",IFERROR(IF(INDEX('01_UngVien_PhongVan'!$L:$L,MATCH($B61,'01_UngVien_PhongVan'!$B:$B,0))=0,"",INDEX('01_UngVien_PhongVan'!$L:$L,MATCH($B61,'01_UngVien_PhongVan'!$B:$B,0))),""))</f>
      </c>
      <c r="M61" s="60">
        <f t="array" ref="M61">IF($B61="","",IFERROR(IF(INDEX('01_UngVien_PhongVan'!$E:$E,MATCH($B61,'01_UngVien_PhongVan'!$B:$B,0))=0,"",INDEX('01_UngVien_PhongVan'!$E:$E,MATCH($B61,'01_UngVien_PhongVan'!$B:$B,0))),""))</f>
      </c>
      <c r="N61" s="60">
        <f t="array" ref="N61">IF($B61="","",IFERROR(IF(INDEX('01_UngVien_PhongVan'!$M:$M,MATCH($B61,'01_UngVien_PhongVan'!$B:$B,0))=0,"",INDEX('01_UngVien_PhongVan'!$M:$M,MATCH($B61,'01_UngVien_PhongVan'!$B:$B,0))),""))</f>
      </c>
      <c r="O61" s="60">
        <f t="array" ref="O61">IF($B61="","",IFERROR(IF(INDEX('01_UngVien_PhongVan'!$N:$N,MATCH($B61,'01_UngVien_PhongVan'!$B:$B,0))=0,"",INDEX('01_UngVien_PhongVan'!$N:$N,MATCH($B61,'01_UngVien_PhongVan'!$B:$B,0))),""))</f>
      </c>
      <c r="P61" s="60">
        <f t="array" ref="P61">IF($B61="","",IFERROR(IF(INDEX('01_UngVien_PhongVan'!$O:$O,MATCH($B61,'01_UngVien_PhongVan'!$B:$B,0))=0,"",INDEX('01_UngVien_PhongVan'!$O:$O,MATCH($B61,'01_UngVien_PhongVan'!$B:$B,0))),""))</f>
      </c>
      <c r="Q61" s="60">
        <f t="array" ref="Q61">IF($B61="","",IFERROR(IF(INDEX('01_UngVien_PhongVan'!$P:$P,MATCH($B61,'01_UngVien_PhongVan'!$B:$B,0))=0,"",INDEX('01_UngVien_PhongVan'!$P:$P,MATCH($B61,'01_UngVien_PhongVan'!$B:$B,0))),""))</f>
      </c>
      <c r="R61" s="60">
        <f t="array" ref="R61">IF($B61="","",IFERROR(IF(INDEX('01_UngVien_PhongVan'!$Q:$Q,MATCH($B61,'01_UngVien_PhongVan'!$B:$B,0))=0,"",INDEX('01_UngVien_PhongVan'!$Q:$Q,MATCH($B61,'01_UngVien_PhongVan'!$B:$B,0))),""))</f>
      </c>
      <c r="S61" s="60">
        <f t="array" ref="S61">IF($B61="","",IFERROR(IF(INDEX('01_UngVien_PhongVan'!$R:$R,MATCH($B61,'01_UngVien_PhongVan'!$B:$B,0))=0,"",INDEX('01_UngVien_PhongVan'!$R:$R,MATCH($B61,'01_UngVien_PhongVan'!$B:$B,0))),""))</f>
      </c>
      <c r="T61" s="60">
        <f t="array" ref="T61">IF($B61="","",IFERROR(IF(INDEX('01_UngVien_PhongVan'!$U:$U,MATCH($B61,'01_UngVien_PhongVan'!$B:$B,0))=0,"",INDEX('01_UngVien_PhongVan'!$U:$U,MATCH($B61,'01_UngVien_PhongVan'!$B:$B,0))),""))</f>
      </c>
      <c r="U61" s="73">
        <f t="array" ref="U61">IF($B61="","",IFERROR(IF(INDEX('01_UngVien_PhongVan'!$C:$C,MATCH($B61,'01_UngVien_PhongVan'!$B:$B,0))=0,"",INDEX('01_UngVien_PhongVan'!$C:$C,MATCH($B61,'01_UngVien_PhongVan'!$B:$B,0))),""))</f>
      </c>
      <c r="V61" s="73">
        <f t="array" ref="V61">IF($B61="","",IFERROR(IF(INDEX('02_DS_Nhan_Viec'!$D:$D,MATCH($B61,'02_DS_Nhan_Viec'!$B:$B,0))=0,"",INDEX('02_DS_Nhan_Viec'!$D:$D,MATCH($B61,'02_DS_Nhan_Viec'!$B:$B,0))),""))</f>
      </c>
      <c r="W61" s="73">
        <f t="array" ref="W61">IF($B61="","",IFERROR(IF(INDEX('02_DS_Nhan_Viec'!$E:$E,MATCH($B61,'02_DS_Nhan_Viec'!$B:$B,0))=0,"",INDEX('02_DS_Nhan_Viec'!$E:$E,MATCH($B61,'02_DS_Nhan_Viec'!$B:$B,0))),""))</f>
      </c>
      <c r="X61" s="73">
        <f t="array" ref="X61">IF($C61="","",IFERROR(IF(INDEX('05_Theo_Doi_Gio_Cong_7_Ngay'!$P:$P,MATCH($C61,'05_Theo_Doi_Gio_Cong_7_Ngay'!$B:$B,0))=0,"",INDEX('05_Theo_Doi_Gio_Cong_7_Ngay'!$P:$P,MATCH($C61,'05_Theo_Doi_Gio_Cong_7_Ngay'!$B:$B,0))),""))</f>
      </c>
      <c r="Y61" s="60">
        <f t="array" ref="Y61">IF($C61="","",IFERROR(IF(INDEX('05_Theo_Doi_Gio_Cong_7_Ngay'!$M:$M,MATCH($C61,'05_Theo_Doi_Gio_Cong_7_Ngay'!$B:$B,0))=0,"",INDEX('05_Theo_Doi_Gio_Cong_7_Ngay'!$M:$M,MATCH($C61,'05_Theo_Doi_Gio_Cong_7_Ngay'!$B:$B,0))),""))</f>
      </c>
      <c r="Z61" s="60">
        <f t="array" ref="Z61">IF($C61="","",IFERROR(IF(INDEX('05_Theo_Doi_Gio_Cong_7_Ngay'!$Q:$Q,MATCH($C61,'05_Theo_Doi_Gio_Cong_7_Ngay'!$B:$B,0))=0,"",INDEX('05_Theo_Doi_Gio_Cong_7_Ngay'!$Q:$Q,MATCH($C61,'05_Theo_Doi_Gio_Cong_7_Ngay'!$B:$B,0))),""))</f>
      </c>
      <c r="AA61" s="60">
        <f t="array" ref="AA61">IF($B61="","",IFERROR(IF(INDEX('02_DS_Nhan_Viec'!$H:$H,MATCH($B61,'02_DS_Nhan_Viec'!$B:$B,0))=0,"",INDEX('02_DS_Nhan_Viec'!$H:$H,MATCH($B61,'02_DS_Nhan_Viec'!$B:$B,0))),""))</f>
      </c>
      <c r="AB61" s="60">
        <f t="array" ref="AB61">IF($B61="","",IFERROR(IF(INDEX('02_DS_Nhan_Viec'!$I:$I,MATCH($B61,'02_DS_Nhan_Viec'!$B:$B,0))=0,"",INDEX('02_DS_Nhan_Viec'!$I:$I,MATCH($B61,'02_DS_Nhan_Viec'!$B:$B,0))),""))</f>
      </c>
      <c r="AC61" s="61">
        <f t="array" ref="AC61">IF($B61="","",IF($C61="","Đang theo dõi",IF(OR(IFERROR(INDEX('05_Theo_Doi_Gio_Cong_7_Ngay'!$R:$R,MATCH($C61,'05_Theo_Doi_Gio_Cong_7_Ngay'!$B:$B,0)),"")="",IFERROR(INDEX('05_Theo_Doi_Gio_Cong_7_Ngay'!$R:$R,MATCH($C61,'05_Theo_Doi_Gio_Cong_7_Ngay'!$B:$B,0)),0)=0),"Đang theo dõi",IFERROR(INDEX('06_DS_Chinh_Thuc'!$K:$K,MATCH(IFERROR(INDEX('05_Theo_Doi_Gio_Cong_7_Ngay'!$R:$R,MATCH($C61,'05_Theo_Doi_Gio_Cong_7_Ngay'!$B:$B,0)),0),'06_DS_Chinh_Thuc'!$B:$B,0)),"Đang theo dõi"))))</f>
      </c>
    </row>
    <row r="62" ht="14.25" customHeight="1" spans="1:29" x14ac:dyDescent="0.25">
      <c r="A62" s="52">
        <f t="shared" si="0"/>
      </c>
      <c r="B62" s="52">
        <f t="array" ref="B62">IFERROR(INDEX('02_DS_Nhan_Viec'!$B:$B,MATCH(61,'02_DS_Nhan_Viec'!$M:$M,0)),"")</f>
      </c>
      <c r="C62" s="52">
        <f t="array" ref="C62">IF($B62="","",IFERROR(IF(INDEX('02_DS_Nhan_Viec'!$J:$J,MATCH($B62,'02_DS_Nhan_Viec'!$B:$B,0))=0,"",INDEX('02_DS_Nhan_Viec'!$J:$J,MATCH($B62,'02_DS_Nhan_Viec'!$B:$B,0))),""))</f>
      </c>
      <c r="D62" s="52">
        <f t="array" ref="D62">IF($C62="","",IFERROR(IF(INDEX('05_Theo_Doi_Gio_Cong_7_Ngay'!$R:$R,MATCH($C62,'05_Theo_Doi_Gio_Cong_7_Ngay'!$B:$B,0))=0,"",INDEX('05_Theo_Doi_Gio_Cong_7_Ngay'!$R:$R,MATCH($C62,'05_Theo_Doi_Gio_Cong_7_Ngay'!$B:$B,0))),""))</f>
      </c>
      <c r="E62" s="60">
        <f t="array" ref="E62">IF($B62="","",IFERROR(IF(INDEX('01_UngVien_PhongVan'!$D:$D,MATCH($B62,'01_UngVien_PhongVan'!$B:$B,0))=0,"",INDEX('01_UngVien_PhongVan'!$D:$D,MATCH($B62,'01_UngVien_PhongVan'!$B:$B,0))),""))</f>
      </c>
      <c r="F62" s="52">
        <f t="array" ref="F62">IF($B62="","",IFERROR(IF(INDEX('01_UngVien_PhongVan'!$F:$F,MATCH($B62,'01_UngVien_PhongVan'!$B:$B,0))=0,"",INDEX('01_UngVien_PhongVan'!$F:$F,MATCH($B62,'01_UngVien_PhongVan'!$B:$B,0))),""))</f>
      </c>
      <c r="G62" s="72">
        <f t="array" ref="G62">IF($B62="","",IFERROR(IF(INDEX('01_UngVien_PhongVan'!$G:$G,MATCH($B62,'01_UngVien_PhongVan'!$B:$B,0))=0,"",INDEX('01_UngVien_PhongVan'!$G:$G,MATCH($B62,'01_UngVien_PhongVan'!$B:$B,0))),""))</f>
      </c>
      <c r="H62" s="52">
        <f t="array" ref="H62">IF($B62="","",IFERROR(IF(INDEX('01_UngVien_PhongVan'!$H:$H,MATCH($B62,'01_UngVien_PhongVan'!$B:$B,0))=0,"",INDEX('01_UngVien_PhongVan'!$H:$H,MATCH($B62,'01_UngVien_PhongVan'!$B:$B,0))),""))</f>
      </c>
      <c r="I62" s="60">
        <f t="array" ref="I62">IF($B62="","",IFERROR(IF(INDEX('01_UngVien_PhongVan'!$I:$I,MATCH($B62,'01_UngVien_PhongVan'!$B:$B,0))=0,"",INDEX('01_UngVien_PhongVan'!$I:$I,MATCH($B62,'01_UngVien_PhongVan'!$B:$B,0))),""))</f>
      </c>
      <c r="J62" s="60">
        <f t="array" ref="J62">IF($B62="","",IFERROR(IF(INDEX('01_UngVien_PhongVan'!$J:$J,MATCH($B62,'01_UngVien_PhongVan'!$B:$B,0))=0,"",INDEX('01_UngVien_PhongVan'!$J:$J,MATCH($B62,'01_UngVien_PhongVan'!$B:$B,0))),""))</f>
      </c>
      <c r="K62" s="73">
        <f t="array" ref="K62">IF($B62="","",IFERROR(IF(INDEX('01_UngVien_PhongVan'!$K:$K,MATCH($B62,'01_UngVien_PhongVan'!$B:$B,0))=0,"",INDEX('01_UngVien_PhongVan'!$K:$K,MATCH($B62,'01_UngVien_PhongVan'!$B:$B,0))),""))</f>
      </c>
      <c r="L62" s="60">
        <f t="array" ref="L62">IF($B62="","",IFERROR(IF(INDEX('01_UngVien_PhongVan'!$L:$L,MATCH($B62,'01_UngVien_PhongVan'!$B:$B,0))=0,"",INDEX('01_UngVien_PhongVan'!$L:$L,MATCH($B62,'01_UngVien_PhongVan'!$B:$B,0))),""))</f>
      </c>
      <c r="M62" s="60">
        <f t="array" ref="M62">IF($B62="","",IFERROR(IF(INDEX('01_UngVien_PhongVan'!$E:$E,MATCH($B62,'01_UngVien_PhongVan'!$B:$B,0))=0,"",INDEX('01_UngVien_PhongVan'!$E:$E,MATCH($B62,'01_UngVien_PhongVan'!$B:$B,0))),""))</f>
      </c>
      <c r="N62" s="60">
        <f t="array" ref="N62">IF($B62="","",IFERROR(IF(INDEX('01_UngVien_PhongVan'!$M:$M,MATCH($B62,'01_UngVien_PhongVan'!$B:$B,0))=0,"",INDEX('01_UngVien_PhongVan'!$M:$M,MATCH($B62,'01_UngVien_PhongVan'!$B:$B,0))),""))</f>
      </c>
      <c r="O62" s="60">
        <f t="array" ref="O62">IF($B62="","",IFERROR(IF(INDEX('01_UngVien_PhongVan'!$N:$N,MATCH($B62,'01_UngVien_PhongVan'!$B:$B,0))=0,"",INDEX('01_UngVien_PhongVan'!$N:$N,MATCH($B62,'01_UngVien_PhongVan'!$B:$B,0))),""))</f>
      </c>
      <c r="P62" s="60">
        <f t="array" ref="P62">IF($B62="","",IFERROR(IF(INDEX('01_UngVien_PhongVan'!$O:$O,MATCH($B62,'01_UngVien_PhongVan'!$B:$B,0))=0,"",INDEX('01_UngVien_PhongVan'!$O:$O,MATCH($B62,'01_UngVien_PhongVan'!$B:$B,0))),""))</f>
      </c>
      <c r="Q62" s="60">
        <f t="array" ref="Q62">IF($B62="","",IFERROR(IF(INDEX('01_UngVien_PhongVan'!$P:$P,MATCH($B62,'01_UngVien_PhongVan'!$B:$B,0))=0,"",INDEX('01_UngVien_PhongVan'!$P:$P,MATCH($B62,'01_UngVien_PhongVan'!$B:$B,0))),""))</f>
      </c>
      <c r="R62" s="60">
        <f t="array" ref="R62">IF($B62="","",IFERROR(IF(INDEX('01_UngVien_PhongVan'!$Q:$Q,MATCH($B62,'01_UngVien_PhongVan'!$B:$B,0))=0,"",INDEX('01_UngVien_PhongVan'!$Q:$Q,MATCH($B62,'01_UngVien_PhongVan'!$B:$B,0))),""))</f>
      </c>
      <c r="S62" s="60">
        <f t="array" ref="S62">IF($B62="","",IFERROR(IF(INDEX('01_UngVien_PhongVan'!$R:$R,MATCH($B62,'01_UngVien_PhongVan'!$B:$B,0))=0,"",INDEX('01_UngVien_PhongVan'!$R:$R,MATCH($B62,'01_UngVien_PhongVan'!$B:$B,0))),""))</f>
      </c>
      <c r="T62" s="60">
        <f t="array" ref="T62">IF($B62="","",IFERROR(IF(INDEX('01_UngVien_PhongVan'!$U:$U,MATCH($B62,'01_UngVien_PhongVan'!$B:$B,0))=0,"",INDEX('01_UngVien_PhongVan'!$U:$U,MATCH($B62,'01_UngVien_PhongVan'!$B:$B,0))),""))</f>
      </c>
      <c r="U62" s="73">
        <f t="array" ref="U62">IF($B62="","",IFERROR(IF(INDEX('01_UngVien_PhongVan'!$C:$C,MATCH($B62,'01_UngVien_PhongVan'!$B:$B,0))=0,"",INDEX('01_UngVien_PhongVan'!$C:$C,MATCH($B62,'01_UngVien_PhongVan'!$B:$B,0))),""))</f>
      </c>
      <c r="V62" s="73">
        <f t="array" ref="V62">IF($B62="","",IFERROR(IF(INDEX('02_DS_Nhan_Viec'!$D:$D,MATCH($B62,'02_DS_Nhan_Viec'!$B:$B,0))=0,"",INDEX('02_DS_Nhan_Viec'!$D:$D,MATCH($B62,'02_DS_Nhan_Viec'!$B:$B,0))),""))</f>
      </c>
      <c r="W62" s="73">
        <f t="array" ref="W62">IF($B62="","",IFERROR(IF(INDEX('02_DS_Nhan_Viec'!$E:$E,MATCH($B62,'02_DS_Nhan_Viec'!$B:$B,0))=0,"",INDEX('02_DS_Nhan_Viec'!$E:$E,MATCH($B62,'02_DS_Nhan_Viec'!$B:$B,0))),""))</f>
      </c>
      <c r="X62" s="73">
        <f t="array" ref="X62">IF($C62="","",IFERROR(IF(INDEX('05_Theo_Doi_Gio_Cong_7_Ngay'!$P:$P,MATCH($C62,'05_Theo_Doi_Gio_Cong_7_Ngay'!$B:$B,0))=0,"",INDEX('05_Theo_Doi_Gio_Cong_7_Ngay'!$P:$P,MATCH($C62,'05_Theo_Doi_Gio_Cong_7_Ngay'!$B:$B,0))),""))</f>
      </c>
      <c r="Y62" s="60">
        <f t="array" ref="Y62">IF($C62="","",IFERROR(IF(INDEX('05_Theo_Doi_Gio_Cong_7_Ngay'!$M:$M,MATCH($C62,'05_Theo_Doi_Gio_Cong_7_Ngay'!$B:$B,0))=0,"",INDEX('05_Theo_Doi_Gio_Cong_7_Ngay'!$M:$M,MATCH($C62,'05_Theo_Doi_Gio_Cong_7_Ngay'!$B:$B,0))),""))</f>
      </c>
      <c r="Z62" s="60">
        <f t="array" ref="Z62">IF($C62="","",IFERROR(IF(INDEX('05_Theo_Doi_Gio_Cong_7_Ngay'!$Q:$Q,MATCH($C62,'05_Theo_Doi_Gio_Cong_7_Ngay'!$B:$B,0))=0,"",INDEX('05_Theo_Doi_Gio_Cong_7_Ngay'!$Q:$Q,MATCH($C62,'05_Theo_Doi_Gio_Cong_7_Ngay'!$B:$B,0))),""))</f>
      </c>
      <c r="AA62" s="60">
        <f t="array" ref="AA62">IF($B62="","",IFERROR(IF(INDEX('02_DS_Nhan_Viec'!$H:$H,MATCH($B62,'02_DS_Nhan_Viec'!$B:$B,0))=0,"",INDEX('02_DS_Nhan_Viec'!$H:$H,MATCH($B62,'02_DS_Nhan_Viec'!$B:$B,0))),""))</f>
      </c>
      <c r="AB62" s="60">
        <f t="array" ref="AB62">IF($B62="","",IFERROR(IF(INDEX('02_DS_Nhan_Viec'!$I:$I,MATCH($B62,'02_DS_Nhan_Viec'!$B:$B,0))=0,"",INDEX('02_DS_Nhan_Viec'!$I:$I,MATCH($B62,'02_DS_Nhan_Viec'!$B:$B,0))),""))</f>
      </c>
      <c r="AC62" s="61">
        <f t="array" ref="AC62">IF($B62="","",IF($C62="","Đang theo dõi",IF(OR(IFERROR(INDEX('05_Theo_Doi_Gio_Cong_7_Ngay'!$R:$R,MATCH($C62,'05_Theo_Doi_Gio_Cong_7_Ngay'!$B:$B,0)),"")="",IFERROR(INDEX('05_Theo_Doi_Gio_Cong_7_Ngay'!$R:$R,MATCH($C62,'05_Theo_Doi_Gio_Cong_7_Ngay'!$B:$B,0)),0)=0),"Đang theo dõi",IFERROR(INDEX('06_DS_Chinh_Thuc'!$K:$K,MATCH(IFERROR(INDEX('05_Theo_Doi_Gio_Cong_7_Ngay'!$R:$R,MATCH($C62,'05_Theo_Doi_Gio_Cong_7_Ngay'!$B:$B,0)),0),'06_DS_Chinh_Thuc'!$B:$B,0)),"Đang theo dõi"))))</f>
      </c>
    </row>
    <row r="63" ht="14.25" customHeight="1" spans="1:29" x14ac:dyDescent="0.25">
      <c r="A63" s="52">
        <f t="shared" si="0"/>
      </c>
      <c r="B63" s="52">
        <f t="array" ref="B63">IFERROR(INDEX('02_DS_Nhan_Viec'!$B:$B,MATCH(62,'02_DS_Nhan_Viec'!$M:$M,0)),"")</f>
      </c>
      <c r="C63" s="52">
        <f t="array" ref="C63">IF($B63="","",IFERROR(IF(INDEX('02_DS_Nhan_Viec'!$J:$J,MATCH($B63,'02_DS_Nhan_Viec'!$B:$B,0))=0,"",INDEX('02_DS_Nhan_Viec'!$J:$J,MATCH($B63,'02_DS_Nhan_Viec'!$B:$B,0))),""))</f>
      </c>
      <c r="D63" s="52">
        <f t="array" ref="D63">IF($C63="","",IFERROR(IF(INDEX('05_Theo_Doi_Gio_Cong_7_Ngay'!$R:$R,MATCH($C63,'05_Theo_Doi_Gio_Cong_7_Ngay'!$B:$B,0))=0,"",INDEX('05_Theo_Doi_Gio_Cong_7_Ngay'!$R:$R,MATCH($C63,'05_Theo_Doi_Gio_Cong_7_Ngay'!$B:$B,0))),""))</f>
      </c>
      <c r="E63" s="60">
        <f t="array" ref="E63">IF($B63="","",IFERROR(IF(INDEX('01_UngVien_PhongVan'!$D:$D,MATCH($B63,'01_UngVien_PhongVan'!$B:$B,0))=0,"",INDEX('01_UngVien_PhongVan'!$D:$D,MATCH($B63,'01_UngVien_PhongVan'!$B:$B,0))),""))</f>
      </c>
      <c r="F63" s="52">
        <f t="array" ref="F63">IF($B63="","",IFERROR(IF(INDEX('01_UngVien_PhongVan'!$F:$F,MATCH($B63,'01_UngVien_PhongVan'!$B:$B,0))=0,"",INDEX('01_UngVien_PhongVan'!$F:$F,MATCH($B63,'01_UngVien_PhongVan'!$B:$B,0))),""))</f>
      </c>
      <c r="G63" s="72">
        <f t="array" ref="G63">IF($B63="","",IFERROR(IF(INDEX('01_UngVien_PhongVan'!$G:$G,MATCH($B63,'01_UngVien_PhongVan'!$B:$B,0))=0,"",INDEX('01_UngVien_PhongVan'!$G:$G,MATCH($B63,'01_UngVien_PhongVan'!$B:$B,0))),""))</f>
      </c>
      <c r="H63" s="52">
        <f t="array" ref="H63">IF($B63="","",IFERROR(IF(INDEX('01_UngVien_PhongVan'!$H:$H,MATCH($B63,'01_UngVien_PhongVan'!$B:$B,0))=0,"",INDEX('01_UngVien_PhongVan'!$H:$H,MATCH($B63,'01_UngVien_PhongVan'!$B:$B,0))),""))</f>
      </c>
      <c r="I63" s="60">
        <f t="array" ref="I63">IF($B63="","",IFERROR(IF(INDEX('01_UngVien_PhongVan'!$I:$I,MATCH($B63,'01_UngVien_PhongVan'!$B:$B,0))=0,"",INDEX('01_UngVien_PhongVan'!$I:$I,MATCH($B63,'01_UngVien_PhongVan'!$B:$B,0))),""))</f>
      </c>
      <c r="J63" s="60">
        <f t="array" ref="J63">IF($B63="","",IFERROR(IF(INDEX('01_UngVien_PhongVan'!$J:$J,MATCH($B63,'01_UngVien_PhongVan'!$B:$B,0))=0,"",INDEX('01_UngVien_PhongVan'!$J:$J,MATCH($B63,'01_UngVien_PhongVan'!$B:$B,0))),""))</f>
      </c>
      <c r="K63" s="73">
        <f t="array" ref="K63">IF($B63="","",IFERROR(IF(INDEX('01_UngVien_PhongVan'!$K:$K,MATCH($B63,'01_UngVien_PhongVan'!$B:$B,0))=0,"",INDEX('01_UngVien_PhongVan'!$K:$K,MATCH($B63,'01_UngVien_PhongVan'!$B:$B,0))),""))</f>
      </c>
      <c r="L63" s="60">
        <f t="array" ref="L63">IF($B63="","",IFERROR(IF(INDEX('01_UngVien_PhongVan'!$L:$L,MATCH($B63,'01_UngVien_PhongVan'!$B:$B,0))=0,"",INDEX('01_UngVien_PhongVan'!$L:$L,MATCH($B63,'01_UngVien_PhongVan'!$B:$B,0))),""))</f>
      </c>
      <c r="M63" s="60">
        <f t="array" ref="M63">IF($B63="","",IFERROR(IF(INDEX('01_UngVien_PhongVan'!$E:$E,MATCH($B63,'01_UngVien_PhongVan'!$B:$B,0))=0,"",INDEX('01_UngVien_PhongVan'!$E:$E,MATCH($B63,'01_UngVien_PhongVan'!$B:$B,0))),""))</f>
      </c>
      <c r="N63" s="60">
        <f t="array" ref="N63">IF($B63="","",IFERROR(IF(INDEX('01_UngVien_PhongVan'!$M:$M,MATCH($B63,'01_UngVien_PhongVan'!$B:$B,0))=0,"",INDEX('01_UngVien_PhongVan'!$M:$M,MATCH($B63,'01_UngVien_PhongVan'!$B:$B,0))),""))</f>
      </c>
      <c r="O63" s="60">
        <f t="array" ref="O63">IF($B63="","",IFERROR(IF(INDEX('01_UngVien_PhongVan'!$N:$N,MATCH($B63,'01_UngVien_PhongVan'!$B:$B,0))=0,"",INDEX('01_UngVien_PhongVan'!$N:$N,MATCH($B63,'01_UngVien_PhongVan'!$B:$B,0))),""))</f>
      </c>
      <c r="P63" s="60">
        <f t="array" ref="P63">IF($B63="","",IFERROR(IF(INDEX('01_UngVien_PhongVan'!$O:$O,MATCH($B63,'01_UngVien_PhongVan'!$B:$B,0))=0,"",INDEX('01_UngVien_PhongVan'!$O:$O,MATCH($B63,'01_UngVien_PhongVan'!$B:$B,0))),""))</f>
      </c>
      <c r="Q63" s="60">
        <f t="array" ref="Q63">IF($B63="","",IFERROR(IF(INDEX('01_UngVien_PhongVan'!$P:$P,MATCH($B63,'01_UngVien_PhongVan'!$B:$B,0))=0,"",INDEX('01_UngVien_PhongVan'!$P:$P,MATCH($B63,'01_UngVien_PhongVan'!$B:$B,0))),""))</f>
      </c>
      <c r="R63" s="60">
        <f t="array" ref="R63">IF($B63="","",IFERROR(IF(INDEX('01_UngVien_PhongVan'!$Q:$Q,MATCH($B63,'01_UngVien_PhongVan'!$B:$B,0))=0,"",INDEX('01_UngVien_PhongVan'!$Q:$Q,MATCH($B63,'01_UngVien_PhongVan'!$B:$B,0))),""))</f>
      </c>
      <c r="S63" s="60">
        <f t="array" ref="S63">IF($B63="","",IFERROR(IF(INDEX('01_UngVien_PhongVan'!$R:$R,MATCH($B63,'01_UngVien_PhongVan'!$B:$B,0))=0,"",INDEX('01_UngVien_PhongVan'!$R:$R,MATCH($B63,'01_UngVien_PhongVan'!$B:$B,0))),""))</f>
      </c>
      <c r="T63" s="60">
        <f t="array" ref="T63">IF($B63="","",IFERROR(IF(INDEX('01_UngVien_PhongVan'!$U:$U,MATCH($B63,'01_UngVien_PhongVan'!$B:$B,0))=0,"",INDEX('01_UngVien_PhongVan'!$U:$U,MATCH($B63,'01_UngVien_PhongVan'!$B:$B,0))),""))</f>
      </c>
      <c r="U63" s="73">
        <f t="array" ref="U63">IF($B63="","",IFERROR(IF(INDEX('01_UngVien_PhongVan'!$C:$C,MATCH($B63,'01_UngVien_PhongVan'!$B:$B,0))=0,"",INDEX('01_UngVien_PhongVan'!$C:$C,MATCH($B63,'01_UngVien_PhongVan'!$B:$B,0))),""))</f>
      </c>
      <c r="V63" s="73">
        <f t="array" ref="V63">IF($B63="","",IFERROR(IF(INDEX('02_DS_Nhan_Viec'!$D:$D,MATCH($B63,'02_DS_Nhan_Viec'!$B:$B,0))=0,"",INDEX('02_DS_Nhan_Viec'!$D:$D,MATCH($B63,'02_DS_Nhan_Viec'!$B:$B,0))),""))</f>
      </c>
      <c r="W63" s="73">
        <f t="array" ref="W63">IF($B63="","",IFERROR(IF(INDEX('02_DS_Nhan_Viec'!$E:$E,MATCH($B63,'02_DS_Nhan_Viec'!$B:$B,0))=0,"",INDEX('02_DS_Nhan_Viec'!$E:$E,MATCH($B63,'02_DS_Nhan_Viec'!$B:$B,0))),""))</f>
      </c>
      <c r="X63" s="73">
        <f t="array" ref="X63">IF($C63="","",IFERROR(IF(INDEX('05_Theo_Doi_Gio_Cong_7_Ngay'!$P:$P,MATCH($C63,'05_Theo_Doi_Gio_Cong_7_Ngay'!$B:$B,0))=0,"",INDEX('05_Theo_Doi_Gio_Cong_7_Ngay'!$P:$P,MATCH($C63,'05_Theo_Doi_Gio_Cong_7_Ngay'!$B:$B,0))),""))</f>
      </c>
      <c r="Y63" s="60">
        <f t="array" ref="Y63">IF($C63="","",IFERROR(IF(INDEX('05_Theo_Doi_Gio_Cong_7_Ngay'!$M:$M,MATCH($C63,'05_Theo_Doi_Gio_Cong_7_Ngay'!$B:$B,0))=0,"",INDEX('05_Theo_Doi_Gio_Cong_7_Ngay'!$M:$M,MATCH($C63,'05_Theo_Doi_Gio_Cong_7_Ngay'!$B:$B,0))),""))</f>
      </c>
      <c r="Z63" s="60">
        <f t="array" ref="Z63">IF($C63="","",IFERROR(IF(INDEX('05_Theo_Doi_Gio_Cong_7_Ngay'!$Q:$Q,MATCH($C63,'05_Theo_Doi_Gio_Cong_7_Ngay'!$B:$B,0))=0,"",INDEX('05_Theo_Doi_Gio_Cong_7_Ngay'!$Q:$Q,MATCH($C63,'05_Theo_Doi_Gio_Cong_7_Ngay'!$B:$B,0))),""))</f>
      </c>
      <c r="AA63" s="60">
        <f t="array" ref="AA63">IF($B63="","",IFERROR(IF(INDEX('02_DS_Nhan_Viec'!$H:$H,MATCH($B63,'02_DS_Nhan_Viec'!$B:$B,0))=0,"",INDEX('02_DS_Nhan_Viec'!$H:$H,MATCH($B63,'02_DS_Nhan_Viec'!$B:$B,0))),""))</f>
      </c>
      <c r="AB63" s="60">
        <f t="array" ref="AB63">IF($B63="","",IFERROR(IF(INDEX('02_DS_Nhan_Viec'!$I:$I,MATCH($B63,'02_DS_Nhan_Viec'!$B:$B,0))=0,"",INDEX('02_DS_Nhan_Viec'!$I:$I,MATCH($B63,'02_DS_Nhan_Viec'!$B:$B,0))),""))</f>
      </c>
      <c r="AC63" s="61">
        <f t="array" ref="AC63">IF($B63="","",IF($C63="","Đang theo dõi",IF(OR(IFERROR(INDEX('05_Theo_Doi_Gio_Cong_7_Ngay'!$R:$R,MATCH($C63,'05_Theo_Doi_Gio_Cong_7_Ngay'!$B:$B,0)),"")="",IFERROR(INDEX('05_Theo_Doi_Gio_Cong_7_Ngay'!$R:$R,MATCH($C63,'05_Theo_Doi_Gio_Cong_7_Ngay'!$B:$B,0)),0)=0),"Đang theo dõi",IFERROR(INDEX('06_DS_Chinh_Thuc'!$K:$K,MATCH(IFERROR(INDEX('05_Theo_Doi_Gio_Cong_7_Ngay'!$R:$R,MATCH($C63,'05_Theo_Doi_Gio_Cong_7_Ngay'!$B:$B,0)),0),'06_DS_Chinh_Thuc'!$B:$B,0)),"Đang theo dõi"))))</f>
      </c>
    </row>
    <row r="64" ht="14.25" customHeight="1" spans="1:29" x14ac:dyDescent="0.25">
      <c r="A64" s="52">
        <f t="shared" si="0"/>
      </c>
      <c r="B64" s="52">
        <f t="array" ref="B64">IFERROR(INDEX('02_DS_Nhan_Viec'!$B:$B,MATCH(63,'02_DS_Nhan_Viec'!$M:$M,0)),"")</f>
      </c>
      <c r="C64" s="52">
        <f t="array" ref="C64">IF($B64="","",IFERROR(IF(INDEX('02_DS_Nhan_Viec'!$J:$J,MATCH($B64,'02_DS_Nhan_Viec'!$B:$B,0))=0,"",INDEX('02_DS_Nhan_Viec'!$J:$J,MATCH($B64,'02_DS_Nhan_Viec'!$B:$B,0))),""))</f>
      </c>
      <c r="D64" s="52">
        <f t="array" ref="D64">IF($C64="","",IFERROR(IF(INDEX('05_Theo_Doi_Gio_Cong_7_Ngay'!$R:$R,MATCH($C64,'05_Theo_Doi_Gio_Cong_7_Ngay'!$B:$B,0))=0,"",INDEX('05_Theo_Doi_Gio_Cong_7_Ngay'!$R:$R,MATCH($C64,'05_Theo_Doi_Gio_Cong_7_Ngay'!$B:$B,0))),""))</f>
      </c>
      <c r="E64" s="60">
        <f t="array" ref="E64">IF($B64="","",IFERROR(IF(INDEX('01_UngVien_PhongVan'!$D:$D,MATCH($B64,'01_UngVien_PhongVan'!$B:$B,0))=0,"",INDEX('01_UngVien_PhongVan'!$D:$D,MATCH($B64,'01_UngVien_PhongVan'!$B:$B,0))),""))</f>
      </c>
      <c r="F64" s="52">
        <f t="array" ref="F64">IF($B64="","",IFERROR(IF(INDEX('01_UngVien_PhongVan'!$F:$F,MATCH($B64,'01_UngVien_PhongVan'!$B:$B,0))=0,"",INDEX('01_UngVien_PhongVan'!$F:$F,MATCH($B64,'01_UngVien_PhongVan'!$B:$B,0))),""))</f>
      </c>
      <c r="G64" s="72">
        <f t="array" ref="G64">IF($B64="","",IFERROR(IF(INDEX('01_UngVien_PhongVan'!$G:$G,MATCH($B64,'01_UngVien_PhongVan'!$B:$B,0))=0,"",INDEX('01_UngVien_PhongVan'!$G:$G,MATCH($B64,'01_UngVien_PhongVan'!$B:$B,0))),""))</f>
      </c>
      <c r="H64" s="52">
        <f t="array" ref="H64">IF($B64="","",IFERROR(IF(INDEX('01_UngVien_PhongVan'!$H:$H,MATCH($B64,'01_UngVien_PhongVan'!$B:$B,0))=0,"",INDEX('01_UngVien_PhongVan'!$H:$H,MATCH($B64,'01_UngVien_PhongVan'!$B:$B,0))),""))</f>
      </c>
      <c r="I64" s="60">
        <f t="array" ref="I64">IF($B64="","",IFERROR(IF(INDEX('01_UngVien_PhongVan'!$I:$I,MATCH($B64,'01_UngVien_PhongVan'!$B:$B,0))=0,"",INDEX('01_UngVien_PhongVan'!$I:$I,MATCH($B64,'01_UngVien_PhongVan'!$B:$B,0))),""))</f>
      </c>
      <c r="J64" s="60">
        <f t="array" ref="J64">IF($B64="","",IFERROR(IF(INDEX('01_UngVien_PhongVan'!$J:$J,MATCH($B64,'01_UngVien_PhongVan'!$B:$B,0))=0,"",INDEX('01_UngVien_PhongVan'!$J:$J,MATCH($B64,'01_UngVien_PhongVan'!$B:$B,0))),""))</f>
      </c>
      <c r="K64" s="73">
        <f t="array" ref="K64">IF($B64="","",IFERROR(IF(INDEX('01_UngVien_PhongVan'!$K:$K,MATCH($B64,'01_UngVien_PhongVan'!$B:$B,0))=0,"",INDEX('01_UngVien_PhongVan'!$K:$K,MATCH($B64,'01_UngVien_PhongVan'!$B:$B,0))),""))</f>
      </c>
      <c r="L64" s="60">
        <f t="array" ref="L64">IF($B64="","",IFERROR(IF(INDEX('01_UngVien_PhongVan'!$L:$L,MATCH($B64,'01_UngVien_PhongVan'!$B:$B,0))=0,"",INDEX('01_UngVien_PhongVan'!$L:$L,MATCH($B64,'01_UngVien_PhongVan'!$B:$B,0))),""))</f>
      </c>
      <c r="M64" s="60">
        <f t="array" ref="M64">IF($B64="","",IFERROR(IF(INDEX('01_UngVien_PhongVan'!$E:$E,MATCH($B64,'01_UngVien_PhongVan'!$B:$B,0))=0,"",INDEX('01_UngVien_PhongVan'!$E:$E,MATCH($B64,'01_UngVien_PhongVan'!$B:$B,0))),""))</f>
      </c>
      <c r="N64" s="60">
        <f t="array" ref="N64">IF($B64="","",IFERROR(IF(INDEX('01_UngVien_PhongVan'!$M:$M,MATCH($B64,'01_UngVien_PhongVan'!$B:$B,0))=0,"",INDEX('01_UngVien_PhongVan'!$M:$M,MATCH($B64,'01_UngVien_PhongVan'!$B:$B,0))),""))</f>
      </c>
      <c r="O64" s="60">
        <f t="array" ref="O64">IF($B64="","",IFERROR(IF(INDEX('01_UngVien_PhongVan'!$N:$N,MATCH($B64,'01_UngVien_PhongVan'!$B:$B,0))=0,"",INDEX('01_UngVien_PhongVan'!$N:$N,MATCH($B64,'01_UngVien_PhongVan'!$B:$B,0))),""))</f>
      </c>
      <c r="P64" s="60">
        <f t="array" ref="P64">IF($B64="","",IFERROR(IF(INDEX('01_UngVien_PhongVan'!$O:$O,MATCH($B64,'01_UngVien_PhongVan'!$B:$B,0))=0,"",INDEX('01_UngVien_PhongVan'!$O:$O,MATCH($B64,'01_UngVien_PhongVan'!$B:$B,0))),""))</f>
      </c>
      <c r="Q64" s="60">
        <f t="array" ref="Q64">IF($B64="","",IFERROR(IF(INDEX('01_UngVien_PhongVan'!$P:$P,MATCH($B64,'01_UngVien_PhongVan'!$B:$B,0))=0,"",INDEX('01_UngVien_PhongVan'!$P:$P,MATCH($B64,'01_UngVien_PhongVan'!$B:$B,0))),""))</f>
      </c>
      <c r="R64" s="60">
        <f t="array" ref="R64">IF($B64="","",IFERROR(IF(INDEX('01_UngVien_PhongVan'!$Q:$Q,MATCH($B64,'01_UngVien_PhongVan'!$B:$B,0))=0,"",INDEX('01_UngVien_PhongVan'!$Q:$Q,MATCH($B64,'01_UngVien_PhongVan'!$B:$B,0))),""))</f>
      </c>
      <c r="S64" s="60">
        <f t="array" ref="S64">IF($B64="","",IFERROR(IF(INDEX('01_UngVien_PhongVan'!$R:$R,MATCH($B64,'01_UngVien_PhongVan'!$B:$B,0))=0,"",INDEX('01_UngVien_PhongVan'!$R:$R,MATCH($B64,'01_UngVien_PhongVan'!$B:$B,0))),""))</f>
      </c>
      <c r="T64" s="60">
        <f t="array" ref="T64">IF($B64="","",IFERROR(IF(INDEX('01_UngVien_PhongVan'!$U:$U,MATCH($B64,'01_UngVien_PhongVan'!$B:$B,0))=0,"",INDEX('01_UngVien_PhongVan'!$U:$U,MATCH($B64,'01_UngVien_PhongVan'!$B:$B,0))),""))</f>
      </c>
      <c r="U64" s="73">
        <f t="array" ref="U64">IF($B64="","",IFERROR(IF(INDEX('01_UngVien_PhongVan'!$C:$C,MATCH($B64,'01_UngVien_PhongVan'!$B:$B,0))=0,"",INDEX('01_UngVien_PhongVan'!$C:$C,MATCH($B64,'01_UngVien_PhongVan'!$B:$B,0))),""))</f>
      </c>
      <c r="V64" s="73">
        <f t="array" ref="V64">IF($B64="","",IFERROR(IF(INDEX('02_DS_Nhan_Viec'!$D:$D,MATCH($B64,'02_DS_Nhan_Viec'!$B:$B,0))=0,"",INDEX('02_DS_Nhan_Viec'!$D:$D,MATCH($B64,'02_DS_Nhan_Viec'!$B:$B,0))),""))</f>
      </c>
      <c r="W64" s="73">
        <f t="array" ref="W64">IF($B64="","",IFERROR(IF(INDEX('02_DS_Nhan_Viec'!$E:$E,MATCH($B64,'02_DS_Nhan_Viec'!$B:$B,0))=0,"",INDEX('02_DS_Nhan_Viec'!$E:$E,MATCH($B64,'02_DS_Nhan_Viec'!$B:$B,0))),""))</f>
      </c>
      <c r="X64" s="73">
        <f t="array" ref="X64">IF($C64="","",IFERROR(IF(INDEX('05_Theo_Doi_Gio_Cong_7_Ngay'!$P:$P,MATCH($C64,'05_Theo_Doi_Gio_Cong_7_Ngay'!$B:$B,0))=0,"",INDEX('05_Theo_Doi_Gio_Cong_7_Ngay'!$P:$P,MATCH($C64,'05_Theo_Doi_Gio_Cong_7_Ngay'!$B:$B,0))),""))</f>
      </c>
      <c r="Y64" s="60">
        <f t="array" ref="Y64">IF($C64="","",IFERROR(IF(INDEX('05_Theo_Doi_Gio_Cong_7_Ngay'!$M:$M,MATCH($C64,'05_Theo_Doi_Gio_Cong_7_Ngay'!$B:$B,0))=0,"",INDEX('05_Theo_Doi_Gio_Cong_7_Ngay'!$M:$M,MATCH($C64,'05_Theo_Doi_Gio_Cong_7_Ngay'!$B:$B,0))),""))</f>
      </c>
      <c r="Z64" s="60">
        <f t="array" ref="Z64">IF($C64="","",IFERROR(IF(INDEX('05_Theo_Doi_Gio_Cong_7_Ngay'!$Q:$Q,MATCH($C64,'05_Theo_Doi_Gio_Cong_7_Ngay'!$B:$B,0))=0,"",INDEX('05_Theo_Doi_Gio_Cong_7_Ngay'!$Q:$Q,MATCH($C64,'05_Theo_Doi_Gio_Cong_7_Ngay'!$B:$B,0))),""))</f>
      </c>
      <c r="AA64" s="60">
        <f t="array" ref="AA64">IF($B64="","",IFERROR(IF(INDEX('02_DS_Nhan_Viec'!$H:$H,MATCH($B64,'02_DS_Nhan_Viec'!$B:$B,0))=0,"",INDEX('02_DS_Nhan_Viec'!$H:$H,MATCH($B64,'02_DS_Nhan_Viec'!$B:$B,0))),""))</f>
      </c>
      <c r="AB64" s="60">
        <f t="array" ref="AB64">IF($B64="","",IFERROR(IF(INDEX('02_DS_Nhan_Viec'!$I:$I,MATCH($B64,'02_DS_Nhan_Viec'!$B:$B,0))=0,"",INDEX('02_DS_Nhan_Viec'!$I:$I,MATCH($B64,'02_DS_Nhan_Viec'!$B:$B,0))),""))</f>
      </c>
      <c r="AC64" s="61">
        <f t="array" ref="AC64">IF($B64="","",IF($C64="","Đang theo dõi",IF(OR(IFERROR(INDEX('05_Theo_Doi_Gio_Cong_7_Ngay'!$R:$R,MATCH($C64,'05_Theo_Doi_Gio_Cong_7_Ngay'!$B:$B,0)),"")="",IFERROR(INDEX('05_Theo_Doi_Gio_Cong_7_Ngay'!$R:$R,MATCH($C64,'05_Theo_Doi_Gio_Cong_7_Ngay'!$B:$B,0)),0)=0),"Đang theo dõi",IFERROR(INDEX('06_DS_Chinh_Thuc'!$K:$K,MATCH(IFERROR(INDEX('05_Theo_Doi_Gio_Cong_7_Ngay'!$R:$R,MATCH($C64,'05_Theo_Doi_Gio_Cong_7_Ngay'!$B:$B,0)),0),'06_DS_Chinh_Thuc'!$B:$B,0)),"Đang theo dõi"))))</f>
      </c>
    </row>
    <row r="65" ht="14.25" customHeight="1" spans="1:29" x14ac:dyDescent="0.25">
      <c r="A65" s="52">
        <f t="shared" si="0"/>
      </c>
      <c r="B65" s="52">
        <f t="array" ref="B65">IFERROR(INDEX('02_DS_Nhan_Viec'!$B:$B,MATCH(64,'02_DS_Nhan_Viec'!$M:$M,0)),"")</f>
      </c>
      <c r="C65" s="52">
        <f t="array" ref="C65">IF($B65="","",IFERROR(IF(INDEX('02_DS_Nhan_Viec'!$J:$J,MATCH($B65,'02_DS_Nhan_Viec'!$B:$B,0))=0,"",INDEX('02_DS_Nhan_Viec'!$J:$J,MATCH($B65,'02_DS_Nhan_Viec'!$B:$B,0))),""))</f>
      </c>
      <c r="D65" s="52">
        <f t="array" ref="D65">IF($C65="","",IFERROR(IF(INDEX('05_Theo_Doi_Gio_Cong_7_Ngay'!$R:$R,MATCH($C65,'05_Theo_Doi_Gio_Cong_7_Ngay'!$B:$B,0))=0,"",INDEX('05_Theo_Doi_Gio_Cong_7_Ngay'!$R:$R,MATCH($C65,'05_Theo_Doi_Gio_Cong_7_Ngay'!$B:$B,0))),""))</f>
      </c>
      <c r="E65" s="60">
        <f t="array" ref="E65">IF($B65="","",IFERROR(IF(INDEX('01_UngVien_PhongVan'!$D:$D,MATCH($B65,'01_UngVien_PhongVan'!$B:$B,0))=0,"",INDEX('01_UngVien_PhongVan'!$D:$D,MATCH($B65,'01_UngVien_PhongVan'!$B:$B,0))),""))</f>
      </c>
      <c r="F65" s="52">
        <f t="array" ref="F65">IF($B65="","",IFERROR(IF(INDEX('01_UngVien_PhongVan'!$F:$F,MATCH($B65,'01_UngVien_PhongVan'!$B:$B,0))=0,"",INDEX('01_UngVien_PhongVan'!$F:$F,MATCH($B65,'01_UngVien_PhongVan'!$B:$B,0))),""))</f>
      </c>
      <c r="G65" s="72">
        <f t="array" ref="G65">IF($B65="","",IFERROR(IF(INDEX('01_UngVien_PhongVan'!$G:$G,MATCH($B65,'01_UngVien_PhongVan'!$B:$B,0))=0,"",INDEX('01_UngVien_PhongVan'!$G:$G,MATCH($B65,'01_UngVien_PhongVan'!$B:$B,0))),""))</f>
      </c>
      <c r="H65" s="52">
        <f t="array" ref="H65">IF($B65="","",IFERROR(IF(INDEX('01_UngVien_PhongVan'!$H:$H,MATCH($B65,'01_UngVien_PhongVan'!$B:$B,0))=0,"",INDEX('01_UngVien_PhongVan'!$H:$H,MATCH($B65,'01_UngVien_PhongVan'!$B:$B,0))),""))</f>
      </c>
      <c r="I65" s="60">
        <f t="array" ref="I65">IF($B65="","",IFERROR(IF(INDEX('01_UngVien_PhongVan'!$I:$I,MATCH($B65,'01_UngVien_PhongVan'!$B:$B,0))=0,"",INDEX('01_UngVien_PhongVan'!$I:$I,MATCH($B65,'01_UngVien_PhongVan'!$B:$B,0))),""))</f>
      </c>
      <c r="J65" s="60">
        <f t="array" ref="J65">IF($B65="","",IFERROR(IF(INDEX('01_UngVien_PhongVan'!$J:$J,MATCH($B65,'01_UngVien_PhongVan'!$B:$B,0))=0,"",INDEX('01_UngVien_PhongVan'!$J:$J,MATCH($B65,'01_UngVien_PhongVan'!$B:$B,0))),""))</f>
      </c>
      <c r="K65" s="73">
        <f t="array" ref="K65">IF($B65="","",IFERROR(IF(INDEX('01_UngVien_PhongVan'!$K:$K,MATCH($B65,'01_UngVien_PhongVan'!$B:$B,0))=0,"",INDEX('01_UngVien_PhongVan'!$K:$K,MATCH($B65,'01_UngVien_PhongVan'!$B:$B,0))),""))</f>
      </c>
      <c r="L65" s="60">
        <f t="array" ref="L65">IF($B65="","",IFERROR(IF(INDEX('01_UngVien_PhongVan'!$L:$L,MATCH($B65,'01_UngVien_PhongVan'!$B:$B,0))=0,"",INDEX('01_UngVien_PhongVan'!$L:$L,MATCH($B65,'01_UngVien_PhongVan'!$B:$B,0))),""))</f>
      </c>
      <c r="M65" s="60">
        <f t="array" ref="M65">IF($B65="","",IFERROR(IF(INDEX('01_UngVien_PhongVan'!$E:$E,MATCH($B65,'01_UngVien_PhongVan'!$B:$B,0))=0,"",INDEX('01_UngVien_PhongVan'!$E:$E,MATCH($B65,'01_UngVien_PhongVan'!$B:$B,0))),""))</f>
      </c>
      <c r="N65" s="60">
        <f t="array" ref="N65">IF($B65="","",IFERROR(IF(INDEX('01_UngVien_PhongVan'!$M:$M,MATCH($B65,'01_UngVien_PhongVan'!$B:$B,0))=0,"",INDEX('01_UngVien_PhongVan'!$M:$M,MATCH($B65,'01_UngVien_PhongVan'!$B:$B,0))),""))</f>
      </c>
      <c r="O65" s="60">
        <f t="array" ref="O65">IF($B65="","",IFERROR(IF(INDEX('01_UngVien_PhongVan'!$N:$N,MATCH($B65,'01_UngVien_PhongVan'!$B:$B,0))=0,"",INDEX('01_UngVien_PhongVan'!$N:$N,MATCH($B65,'01_UngVien_PhongVan'!$B:$B,0))),""))</f>
      </c>
      <c r="P65" s="60">
        <f t="array" ref="P65">IF($B65="","",IFERROR(IF(INDEX('01_UngVien_PhongVan'!$O:$O,MATCH($B65,'01_UngVien_PhongVan'!$B:$B,0))=0,"",INDEX('01_UngVien_PhongVan'!$O:$O,MATCH($B65,'01_UngVien_PhongVan'!$B:$B,0))),""))</f>
      </c>
      <c r="Q65" s="60">
        <f t="array" ref="Q65">IF($B65="","",IFERROR(IF(INDEX('01_UngVien_PhongVan'!$P:$P,MATCH($B65,'01_UngVien_PhongVan'!$B:$B,0))=0,"",INDEX('01_UngVien_PhongVan'!$P:$P,MATCH($B65,'01_UngVien_PhongVan'!$B:$B,0))),""))</f>
      </c>
      <c r="R65" s="60">
        <f t="array" ref="R65">IF($B65="","",IFERROR(IF(INDEX('01_UngVien_PhongVan'!$Q:$Q,MATCH($B65,'01_UngVien_PhongVan'!$B:$B,0))=0,"",INDEX('01_UngVien_PhongVan'!$Q:$Q,MATCH($B65,'01_UngVien_PhongVan'!$B:$B,0))),""))</f>
      </c>
      <c r="S65" s="60">
        <f t="array" ref="S65">IF($B65="","",IFERROR(IF(INDEX('01_UngVien_PhongVan'!$R:$R,MATCH($B65,'01_UngVien_PhongVan'!$B:$B,0))=0,"",INDEX('01_UngVien_PhongVan'!$R:$R,MATCH($B65,'01_UngVien_PhongVan'!$B:$B,0))),""))</f>
      </c>
      <c r="T65" s="60">
        <f t="array" ref="T65">IF($B65="","",IFERROR(IF(INDEX('01_UngVien_PhongVan'!$U:$U,MATCH($B65,'01_UngVien_PhongVan'!$B:$B,0))=0,"",INDEX('01_UngVien_PhongVan'!$U:$U,MATCH($B65,'01_UngVien_PhongVan'!$B:$B,0))),""))</f>
      </c>
      <c r="U65" s="73">
        <f t="array" ref="U65">IF($B65="","",IFERROR(IF(INDEX('01_UngVien_PhongVan'!$C:$C,MATCH($B65,'01_UngVien_PhongVan'!$B:$B,0))=0,"",INDEX('01_UngVien_PhongVan'!$C:$C,MATCH($B65,'01_UngVien_PhongVan'!$B:$B,0))),""))</f>
      </c>
      <c r="V65" s="73">
        <f t="array" ref="V65">IF($B65="","",IFERROR(IF(INDEX('02_DS_Nhan_Viec'!$D:$D,MATCH($B65,'02_DS_Nhan_Viec'!$B:$B,0))=0,"",INDEX('02_DS_Nhan_Viec'!$D:$D,MATCH($B65,'02_DS_Nhan_Viec'!$B:$B,0))),""))</f>
      </c>
      <c r="W65" s="73">
        <f t="array" ref="W65">IF($B65="","",IFERROR(IF(INDEX('02_DS_Nhan_Viec'!$E:$E,MATCH($B65,'02_DS_Nhan_Viec'!$B:$B,0))=0,"",INDEX('02_DS_Nhan_Viec'!$E:$E,MATCH($B65,'02_DS_Nhan_Viec'!$B:$B,0))),""))</f>
      </c>
      <c r="X65" s="73">
        <f t="array" ref="X65">IF($C65="","",IFERROR(IF(INDEX('05_Theo_Doi_Gio_Cong_7_Ngay'!$P:$P,MATCH($C65,'05_Theo_Doi_Gio_Cong_7_Ngay'!$B:$B,0))=0,"",INDEX('05_Theo_Doi_Gio_Cong_7_Ngay'!$P:$P,MATCH($C65,'05_Theo_Doi_Gio_Cong_7_Ngay'!$B:$B,0))),""))</f>
      </c>
      <c r="Y65" s="60">
        <f t="array" ref="Y65">IF($C65="","",IFERROR(IF(INDEX('05_Theo_Doi_Gio_Cong_7_Ngay'!$M:$M,MATCH($C65,'05_Theo_Doi_Gio_Cong_7_Ngay'!$B:$B,0))=0,"",INDEX('05_Theo_Doi_Gio_Cong_7_Ngay'!$M:$M,MATCH($C65,'05_Theo_Doi_Gio_Cong_7_Ngay'!$B:$B,0))),""))</f>
      </c>
      <c r="Z65" s="60">
        <f t="array" ref="Z65">IF($C65="","",IFERROR(IF(INDEX('05_Theo_Doi_Gio_Cong_7_Ngay'!$Q:$Q,MATCH($C65,'05_Theo_Doi_Gio_Cong_7_Ngay'!$B:$B,0))=0,"",INDEX('05_Theo_Doi_Gio_Cong_7_Ngay'!$Q:$Q,MATCH($C65,'05_Theo_Doi_Gio_Cong_7_Ngay'!$B:$B,0))),""))</f>
      </c>
      <c r="AA65" s="60">
        <f t="array" ref="AA65">IF($B65="","",IFERROR(IF(INDEX('02_DS_Nhan_Viec'!$H:$H,MATCH($B65,'02_DS_Nhan_Viec'!$B:$B,0))=0,"",INDEX('02_DS_Nhan_Viec'!$H:$H,MATCH($B65,'02_DS_Nhan_Viec'!$B:$B,0))),""))</f>
      </c>
      <c r="AB65" s="60">
        <f t="array" ref="AB65">IF($B65="","",IFERROR(IF(INDEX('02_DS_Nhan_Viec'!$I:$I,MATCH($B65,'02_DS_Nhan_Viec'!$B:$B,0))=0,"",INDEX('02_DS_Nhan_Viec'!$I:$I,MATCH($B65,'02_DS_Nhan_Viec'!$B:$B,0))),""))</f>
      </c>
      <c r="AC65" s="61">
        <f t="array" ref="AC65">IF($B65="","",IF($C65="","Đang theo dõi",IF(OR(IFERROR(INDEX('05_Theo_Doi_Gio_Cong_7_Ngay'!$R:$R,MATCH($C65,'05_Theo_Doi_Gio_Cong_7_Ngay'!$B:$B,0)),"")="",IFERROR(INDEX('05_Theo_Doi_Gio_Cong_7_Ngay'!$R:$R,MATCH($C65,'05_Theo_Doi_Gio_Cong_7_Ngay'!$B:$B,0)),0)=0),"Đang theo dõi",IFERROR(INDEX('06_DS_Chinh_Thuc'!$K:$K,MATCH(IFERROR(INDEX('05_Theo_Doi_Gio_Cong_7_Ngay'!$R:$R,MATCH($C65,'05_Theo_Doi_Gio_Cong_7_Ngay'!$B:$B,0)),0),'06_DS_Chinh_Thuc'!$B:$B,0)),"Đang theo dõi"))))</f>
      </c>
    </row>
    <row r="66" ht="14.25" customHeight="1" spans="1:29" x14ac:dyDescent="0.25">
      <c r="A66" s="52">
        <f t="shared" si="0"/>
      </c>
      <c r="B66" s="52">
        <f t="array" ref="B66">IFERROR(INDEX('02_DS_Nhan_Viec'!$B:$B,MATCH(65,'02_DS_Nhan_Viec'!$M:$M,0)),"")</f>
      </c>
      <c r="C66" s="52">
        <f t="array" ref="C66">IF($B66="","",IFERROR(IF(INDEX('02_DS_Nhan_Viec'!$J:$J,MATCH($B66,'02_DS_Nhan_Viec'!$B:$B,0))=0,"",INDEX('02_DS_Nhan_Viec'!$J:$J,MATCH($B66,'02_DS_Nhan_Viec'!$B:$B,0))),""))</f>
      </c>
      <c r="D66" s="52">
        <f t="array" ref="D66">IF($C66="","",IFERROR(IF(INDEX('05_Theo_Doi_Gio_Cong_7_Ngay'!$R:$R,MATCH($C66,'05_Theo_Doi_Gio_Cong_7_Ngay'!$B:$B,0))=0,"",INDEX('05_Theo_Doi_Gio_Cong_7_Ngay'!$R:$R,MATCH($C66,'05_Theo_Doi_Gio_Cong_7_Ngay'!$B:$B,0))),""))</f>
      </c>
      <c r="E66" s="60">
        <f t="array" ref="E66">IF($B66="","",IFERROR(IF(INDEX('01_UngVien_PhongVan'!$D:$D,MATCH($B66,'01_UngVien_PhongVan'!$B:$B,0))=0,"",INDEX('01_UngVien_PhongVan'!$D:$D,MATCH($B66,'01_UngVien_PhongVan'!$B:$B,0))),""))</f>
      </c>
      <c r="F66" s="52">
        <f t="array" ref="F66">IF($B66="","",IFERROR(IF(INDEX('01_UngVien_PhongVan'!$F:$F,MATCH($B66,'01_UngVien_PhongVan'!$B:$B,0))=0,"",INDEX('01_UngVien_PhongVan'!$F:$F,MATCH($B66,'01_UngVien_PhongVan'!$B:$B,0))),""))</f>
      </c>
      <c r="G66" s="72">
        <f t="array" ref="G66">IF($B66="","",IFERROR(IF(INDEX('01_UngVien_PhongVan'!$G:$G,MATCH($B66,'01_UngVien_PhongVan'!$B:$B,0))=0,"",INDEX('01_UngVien_PhongVan'!$G:$G,MATCH($B66,'01_UngVien_PhongVan'!$B:$B,0))),""))</f>
      </c>
      <c r="H66" s="52">
        <f t="array" ref="H66">IF($B66="","",IFERROR(IF(INDEX('01_UngVien_PhongVan'!$H:$H,MATCH($B66,'01_UngVien_PhongVan'!$B:$B,0))=0,"",INDEX('01_UngVien_PhongVan'!$H:$H,MATCH($B66,'01_UngVien_PhongVan'!$B:$B,0))),""))</f>
      </c>
      <c r="I66" s="60">
        <f t="array" ref="I66">IF($B66="","",IFERROR(IF(INDEX('01_UngVien_PhongVan'!$I:$I,MATCH($B66,'01_UngVien_PhongVan'!$B:$B,0))=0,"",INDEX('01_UngVien_PhongVan'!$I:$I,MATCH($B66,'01_UngVien_PhongVan'!$B:$B,0))),""))</f>
      </c>
      <c r="J66" s="60">
        <f t="array" ref="J66">IF($B66="","",IFERROR(IF(INDEX('01_UngVien_PhongVan'!$J:$J,MATCH($B66,'01_UngVien_PhongVan'!$B:$B,0))=0,"",INDEX('01_UngVien_PhongVan'!$J:$J,MATCH($B66,'01_UngVien_PhongVan'!$B:$B,0))),""))</f>
      </c>
      <c r="K66" s="73">
        <f t="array" ref="K66">IF($B66="","",IFERROR(IF(INDEX('01_UngVien_PhongVan'!$K:$K,MATCH($B66,'01_UngVien_PhongVan'!$B:$B,0))=0,"",INDEX('01_UngVien_PhongVan'!$K:$K,MATCH($B66,'01_UngVien_PhongVan'!$B:$B,0))),""))</f>
      </c>
      <c r="L66" s="60">
        <f t="array" ref="L66">IF($B66="","",IFERROR(IF(INDEX('01_UngVien_PhongVan'!$L:$L,MATCH($B66,'01_UngVien_PhongVan'!$B:$B,0))=0,"",INDEX('01_UngVien_PhongVan'!$L:$L,MATCH($B66,'01_UngVien_PhongVan'!$B:$B,0))),""))</f>
      </c>
      <c r="M66" s="60">
        <f t="array" ref="M66">IF($B66="","",IFERROR(IF(INDEX('01_UngVien_PhongVan'!$E:$E,MATCH($B66,'01_UngVien_PhongVan'!$B:$B,0))=0,"",INDEX('01_UngVien_PhongVan'!$E:$E,MATCH($B66,'01_UngVien_PhongVan'!$B:$B,0))),""))</f>
      </c>
      <c r="N66" s="60">
        <f t="array" ref="N66">IF($B66="","",IFERROR(IF(INDEX('01_UngVien_PhongVan'!$M:$M,MATCH($B66,'01_UngVien_PhongVan'!$B:$B,0))=0,"",INDEX('01_UngVien_PhongVan'!$M:$M,MATCH($B66,'01_UngVien_PhongVan'!$B:$B,0))),""))</f>
      </c>
      <c r="O66" s="60">
        <f t="array" ref="O66">IF($B66="","",IFERROR(IF(INDEX('01_UngVien_PhongVan'!$N:$N,MATCH($B66,'01_UngVien_PhongVan'!$B:$B,0))=0,"",INDEX('01_UngVien_PhongVan'!$N:$N,MATCH($B66,'01_UngVien_PhongVan'!$B:$B,0))),""))</f>
      </c>
      <c r="P66" s="60">
        <f t="array" ref="P66">IF($B66="","",IFERROR(IF(INDEX('01_UngVien_PhongVan'!$O:$O,MATCH($B66,'01_UngVien_PhongVan'!$B:$B,0))=0,"",INDEX('01_UngVien_PhongVan'!$O:$O,MATCH($B66,'01_UngVien_PhongVan'!$B:$B,0))),""))</f>
      </c>
      <c r="Q66" s="60">
        <f t="array" ref="Q66">IF($B66="","",IFERROR(IF(INDEX('01_UngVien_PhongVan'!$P:$P,MATCH($B66,'01_UngVien_PhongVan'!$B:$B,0))=0,"",INDEX('01_UngVien_PhongVan'!$P:$P,MATCH($B66,'01_UngVien_PhongVan'!$B:$B,0))),""))</f>
      </c>
      <c r="R66" s="60">
        <f t="array" ref="R66">IF($B66="","",IFERROR(IF(INDEX('01_UngVien_PhongVan'!$Q:$Q,MATCH($B66,'01_UngVien_PhongVan'!$B:$B,0))=0,"",INDEX('01_UngVien_PhongVan'!$Q:$Q,MATCH($B66,'01_UngVien_PhongVan'!$B:$B,0))),""))</f>
      </c>
      <c r="S66" s="60">
        <f t="array" ref="S66">IF($B66="","",IFERROR(IF(INDEX('01_UngVien_PhongVan'!$R:$R,MATCH($B66,'01_UngVien_PhongVan'!$B:$B,0))=0,"",INDEX('01_UngVien_PhongVan'!$R:$R,MATCH($B66,'01_UngVien_PhongVan'!$B:$B,0))),""))</f>
      </c>
      <c r="T66" s="60">
        <f t="array" ref="T66">IF($B66="","",IFERROR(IF(INDEX('01_UngVien_PhongVan'!$U:$U,MATCH($B66,'01_UngVien_PhongVan'!$B:$B,0))=0,"",INDEX('01_UngVien_PhongVan'!$U:$U,MATCH($B66,'01_UngVien_PhongVan'!$B:$B,0))),""))</f>
      </c>
      <c r="U66" s="73">
        <f t="array" ref="U66">IF($B66="","",IFERROR(IF(INDEX('01_UngVien_PhongVan'!$C:$C,MATCH($B66,'01_UngVien_PhongVan'!$B:$B,0))=0,"",INDEX('01_UngVien_PhongVan'!$C:$C,MATCH($B66,'01_UngVien_PhongVan'!$B:$B,0))),""))</f>
      </c>
      <c r="V66" s="73">
        <f t="array" ref="V66">IF($B66="","",IFERROR(IF(INDEX('02_DS_Nhan_Viec'!$D:$D,MATCH($B66,'02_DS_Nhan_Viec'!$B:$B,0))=0,"",INDEX('02_DS_Nhan_Viec'!$D:$D,MATCH($B66,'02_DS_Nhan_Viec'!$B:$B,0))),""))</f>
      </c>
      <c r="W66" s="73">
        <f t="array" ref="W66">IF($B66="","",IFERROR(IF(INDEX('02_DS_Nhan_Viec'!$E:$E,MATCH($B66,'02_DS_Nhan_Viec'!$B:$B,0))=0,"",INDEX('02_DS_Nhan_Viec'!$E:$E,MATCH($B66,'02_DS_Nhan_Viec'!$B:$B,0))),""))</f>
      </c>
      <c r="X66" s="73">
        <f t="array" ref="X66">IF($C66="","",IFERROR(IF(INDEX('05_Theo_Doi_Gio_Cong_7_Ngay'!$P:$P,MATCH($C66,'05_Theo_Doi_Gio_Cong_7_Ngay'!$B:$B,0))=0,"",INDEX('05_Theo_Doi_Gio_Cong_7_Ngay'!$P:$P,MATCH($C66,'05_Theo_Doi_Gio_Cong_7_Ngay'!$B:$B,0))),""))</f>
      </c>
      <c r="Y66" s="60">
        <f t="array" ref="Y66">IF($C66="","",IFERROR(IF(INDEX('05_Theo_Doi_Gio_Cong_7_Ngay'!$M:$M,MATCH($C66,'05_Theo_Doi_Gio_Cong_7_Ngay'!$B:$B,0))=0,"",INDEX('05_Theo_Doi_Gio_Cong_7_Ngay'!$M:$M,MATCH($C66,'05_Theo_Doi_Gio_Cong_7_Ngay'!$B:$B,0))),""))</f>
      </c>
      <c r="Z66" s="60">
        <f t="array" ref="Z66">IF($C66="","",IFERROR(IF(INDEX('05_Theo_Doi_Gio_Cong_7_Ngay'!$Q:$Q,MATCH($C66,'05_Theo_Doi_Gio_Cong_7_Ngay'!$B:$B,0))=0,"",INDEX('05_Theo_Doi_Gio_Cong_7_Ngay'!$Q:$Q,MATCH($C66,'05_Theo_Doi_Gio_Cong_7_Ngay'!$B:$B,0))),""))</f>
      </c>
      <c r="AA66" s="60">
        <f t="array" ref="AA66">IF($B66="","",IFERROR(IF(INDEX('02_DS_Nhan_Viec'!$H:$H,MATCH($B66,'02_DS_Nhan_Viec'!$B:$B,0))=0,"",INDEX('02_DS_Nhan_Viec'!$H:$H,MATCH($B66,'02_DS_Nhan_Viec'!$B:$B,0))),""))</f>
      </c>
      <c r="AB66" s="60">
        <f t="array" ref="AB66">IF($B66="","",IFERROR(IF(INDEX('02_DS_Nhan_Viec'!$I:$I,MATCH($B66,'02_DS_Nhan_Viec'!$B:$B,0))=0,"",INDEX('02_DS_Nhan_Viec'!$I:$I,MATCH($B66,'02_DS_Nhan_Viec'!$B:$B,0))),""))</f>
      </c>
      <c r="AC66" s="61">
        <f t="array" ref="AC66">IF($B66="","",IF($C66="","Đang theo dõi",IF(OR(IFERROR(INDEX('05_Theo_Doi_Gio_Cong_7_Ngay'!$R:$R,MATCH($C66,'05_Theo_Doi_Gio_Cong_7_Ngay'!$B:$B,0)),"")="",IFERROR(INDEX('05_Theo_Doi_Gio_Cong_7_Ngay'!$R:$R,MATCH($C66,'05_Theo_Doi_Gio_Cong_7_Ngay'!$B:$B,0)),0)=0),"Đang theo dõi",IFERROR(INDEX('06_DS_Chinh_Thuc'!$K:$K,MATCH(IFERROR(INDEX('05_Theo_Doi_Gio_Cong_7_Ngay'!$R:$R,MATCH($C66,'05_Theo_Doi_Gio_Cong_7_Ngay'!$B:$B,0)),0),'06_DS_Chinh_Thuc'!$B:$B,0)),"Đang theo dõi"))))</f>
      </c>
    </row>
    <row r="67" ht="14.25" customHeight="1" spans="1:29" x14ac:dyDescent="0.25">
      <c r="A67" s="52">
        <f t="shared" si="0"/>
      </c>
      <c r="B67" s="52">
        <f t="array" ref="B67">IFERROR(INDEX('02_DS_Nhan_Viec'!$B:$B,MATCH(66,'02_DS_Nhan_Viec'!$M:$M,0)),"")</f>
      </c>
      <c r="C67" s="52">
        <f t="array" ref="C67">IF($B67="","",IFERROR(IF(INDEX('02_DS_Nhan_Viec'!$J:$J,MATCH($B67,'02_DS_Nhan_Viec'!$B:$B,0))=0,"",INDEX('02_DS_Nhan_Viec'!$J:$J,MATCH($B67,'02_DS_Nhan_Viec'!$B:$B,0))),""))</f>
      </c>
      <c r="D67" s="52">
        <f t="array" ref="D67">IF($C67="","",IFERROR(IF(INDEX('05_Theo_Doi_Gio_Cong_7_Ngay'!$R:$R,MATCH($C67,'05_Theo_Doi_Gio_Cong_7_Ngay'!$B:$B,0))=0,"",INDEX('05_Theo_Doi_Gio_Cong_7_Ngay'!$R:$R,MATCH($C67,'05_Theo_Doi_Gio_Cong_7_Ngay'!$B:$B,0))),""))</f>
      </c>
      <c r="E67" s="60">
        <f t="array" ref="E67">IF($B67="","",IFERROR(IF(INDEX('01_UngVien_PhongVan'!$D:$D,MATCH($B67,'01_UngVien_PhongVan'!$B:$B,0))=0,"",INDEX('01_UngVien_PhongVan'!$D:$D,MATCH($B67,'01_UngVien_PhongVan'!$B:$B,0))),""))</f>
      </c>
      <c r="F67" s="52">
        <f t="array" ref="F67">IF($B67="","",IFERROR(IF(INDEX('01_UngVien_PhongVan'!$F:$F,MATCH($B67,'01_UngVien_PhongVan'!$B:$B,0))=0,"",INDEX('01_UngVien_PhongVan'!$F:$F,MATCH($B67,'01_UngVien_PhongVan'!$B:$B,0))),""))</f>
      </c>
      <c r="G67" s="72">
        <f t="array" ref="G67">IF($B67="","",IFERROR(IF(INDEX('01_UngVien_PhongVan'!$G:$G,MATCH($B67,'01_UngVien_PhongVan'!$B:$B,0))=0,"",INDEX('01_UngVien_PhongVan'!$G:$G,MATCH($B67,'01_UngVien_PhongVan'!$B:$B,0))),""))</f>
      </c>
      <c r="H67" s="52">
        <f t="array" ref="H67">IF($B67="","",IFERROR(IF(INDEX('01_UngVien_PhongVan'!$H:$H,MATCH($B67,'01_UngVien_PhongVan'!$B:$B,0))=0,"",INDEX('01_UngVien_PhongVan'!$H:$H,MATCH($B67,'01_UngVien_PhongVan'!$B:$B,0))),""))</f>
      </c>
      <c r="I67" s="60">
        <f t="array" ref="I67">IF($B67="","",IFERROR(IF(INDEX('01_UngVien_PhongVan'!$I:$I,MATCH($B67,'01_UngVien_PhongVan'!$B:$B,0))=0,"",INDEX('01_UngVien_PhongVan'!$I:$I,MATCH($B67,'01_UngVien_PhongVan'!$B:$B,0))),""))</f>
      </c>
      <c r="J67" s="60">
        <f t="array" ref="J67">IF($B67="","",IFERROR(IF(INDEX('01_UngVien_PhongVan'!$J:$J,MATCH($B67,'01_UngVien_PhongVan'!$B:$B,0))=0,"",INDEX('01_UngVien_PhongVan'!$J:$J,MATCH($B67,'01_UngVien_PhongVan'!$B:$B,0))),""))</f>
      </c>
      <c r="K67" s="73">
        <f t="array" ref="K67">IF($B67="","",IFERROR(IF(INDEX('01_UngVien_PhongVan'!$K:$K,MATCH($B67,'01_UngVien_PhongVan'!$B:$B,0))=0,"",INDEX('01_UngVien_PhongVan'!$K:$K,MATCH($B67,'01_UngVien_PhongVan'!$B:$B,0))),""))</f>
      </c>
      <c r="L67" s="60">
        <f t="array" ref="L67">IF($B67="","",IFERROR(IF(INDEX('01_UngVien_PhongVan'!$L:$L,MATCH($B67,'01_UngVien_PhongVan'!$B:$B,0))=0,"",INDEX('01_UngVien_PhongVan'!$L:$L,MATCH($B67,'01_UngVien_PhongVan'!$B:$B,0))),""))</f>
      </c>
      <c r="M67" s="60">
        <f t="array" ref="M67">IF($B67="","",IFERROR(IF(INDEX('01_UngVien_PhongVan'!$E:$E,MATCH($B67,'01_UngVien_PhongVan'!$B:$B,0))=0,"",INDEX('01_UngVien_PhongVan'!$E:$E,MATCH($B67,'01_UngVien_PhongVan'!$B:$B,0))),""))</f>
      </c>
      <c r="N67" s="60">
        <f t="array" ref="N67">IF($B67="","",IFERROR(IF(INDEX('01_UngVien_PhongVan'!$M:$M,MATCH($B67,'01_UngVien_PhongVan'!$B:$B,0))=0,"",INDEX('01_UngVien_PhongVan'!$M:$M,MATCH($B67,'01_UngVien_PhongVan'!$B:$B,0))),""))</f>
      </c>
      <c r="O67" s="60">
        <f t="array" ref="O67">IF($B67="","",IFERROR(IF(INDEX('01_UngVien_PhongVan'!$N:$N,MATCH($B67,'01_UngVien_PhongVan'!$B:$B,0))=0,"",INDEX('01_UngVien_PhongVan'!$N:$N,MATCH($B67,'01_UngVien_PhongVan'!$B:$B,0))),""))</f>
      </c>
      <c r="P67" s="60">
        <f t="array" ref="P67">IF($B67="","",IFERROR(IF(INDEX('01_UngVien_PhongVan'!$O:$O,MATCH($B67,'01_UngVien_PhongVan'!$B:$B,0))=0,"",INDEX('01_UngVien_PhongVan'!$O:$O,MATCH($B67,'01_UngVien_PhongVan'!$B:$B,0))),""))</f>
      </c>
      <c r="Q67" s="60">
        <f t="array" ref="Q67">IF($B67="","",IFERROR(IF(INDEX('01_UngVien_PhongVan'!$P:$P,MATCH($B67,'01_UngVien_PhongVan'!$B:$B,0))=0,"",INDEX('01_UngVien_PhongVan'!$P:$P,MATCH($B67,'01_UngVien_PhongVan'!$B:$B,0))),""))</f>
      </c>
      <c r="R67" s="60">
        <f t="array" ref="R67">IF($B67="","",IFERROR(IF(INDEX('01_UngVien_PhongVan'!$Q:$Q,MATCH($B67,'01_UngVien_PhongVan'!$B:$B,0))=0,"",INDEX('01_UngVien_PhongVan'!$Q:$Q,MATCH($B67,'01_UngVien_PhongVan'!$B:$B,0))),""))</f>
      </c>
      <c r="S67" s="60">
        <f t="array" ref="S67">IF($B67="","",IFERROR(IF(INDEX('01_UngVien_PhongVan'!$R:$R,MATCH($B67,'01_UngVien_PhongVan'!$B:$B,0))=0,"",INDEX('01_UngVien_PhongVan'!$R:$R,MATCH($B67,'01_UngVien_PhongVan'!$B:$B,0))),""))</f>
      </c>
      <c r="T67" s="60">
        <f t="array" ref="T67">IF($B67="","",IFERROR(IF(INDEX('01_UngVien_PhongVan'!$U:$U,MATCH($B67,'01_UngVien_PhongVan'!$B:$B,0))=0,"",INDEX('01_UngVien_PhongVan'!$U:$U,MATCH($B67,'01_UngVien_PhongVan'!$B:$B,0))),""))</f>
      </c>
      <c r="U67" s="73">
        <f t="array" ref="U67">IF($B67="","",IFERROR(IF(INDEX('01_UngVien_PhongVan'!$C:$C,MATCH($B67,'01_UngVien_PhongVan'!$B:$B,0))=0,"",INDEX('01_UngVien_PhongVan'!$C:$C,MATCH($B67,'01_UngVien_PhongVan'!$B:$B,0))),""))</f>
      </c>
      <c r="V67" s="73">
        <f t="array" ref="V67">IF($B67="","",IFERROR(IF(INDEX('02_DS_Nhan_Viec'!$D:$D,MATCH($B67,'02_DS_Nhan_Viec'!$B:$B,0))=0,"",INDEX('02_DS_Nhan_Viec'!$D:$D,MATCH($B67,'02_DS_Nhan_Viec'!$B:$B,0))),""))</f>
      </c>
      <c r="W67" s="73">
        <f t="array" ref="W67">IF($B67="","",IFERROR(IF(INDEX('02_DS_Nhan_Viec'!$E:$E,MATCH($B67,'02_DS_Nhan_Viec'!$B:$B,0))=0,"",INDEX('02_DS_Nhan_Viec'!$E:$E,MATCH($B67,'02_DS_Nhan_Viec'!$B:$B,0))),""))</f>
      </c>
      <c r="X67" s="73">
        <f t="array" ref="X67">IF($C67="","",IFERROR(IF(INDEX('05_Theo_Doi_Gio_Cong_7_Ngay'!$P:$P,MATCH($C67,'05_Theo_Doi_Gio_Cong_7_Ngay'!$B:$B,0))=0,"",INDEX('05_Theo_Doi_Gio_Cong_7_Ngay'!$P:$P,MATCH($C67,'05_Theo_Doi_Gio_Cong_7_Ngay'!$B:$B,0))),""))</f>
      </c>
      <c r="Y67" s="60">
        <f t="array" ref="Y67">IF($C67="","",IFERROR(IF(INDEX('05_Theo_Doi_Gio_Cong_7_Ngay'!$M:$M,MATCH($C67,'05_Theo_Doi_Gio_Cong_7_Ngay'!$B:$B,0))=0,"",INDEX('05_Theo_Doi_Gio_Cong_7_Ngay'!$M:$M,MATCH($C67,'05_Theo_Doi_Gio_Cong_7_Ngay'!$B:$B,0))),""))</f>
      </c>
      <c r="Z67" s="60">
        <f t="array" ref="Z67">IF($C67="","",IFERROR(IF(INDEX('05_Theo_Doi_Gio_Cong_7_Ngay'!$Q:$Q,MATCH($C67,'05_Theo_Doi_Gio_Cong_7_Ngay'!$B:$B,0))=0,"",INDEX('05_Theo_Doi_Gio_Cong_7_Ngay'!$Q:$Q,MATCH($C67,'05_Theo_Doi_Gio_Cong_7_Ngay'!$B:$B,0))),""))</f>
      </c>
      <c r="AA67" s="60">
        <f t="array" ref="AA67">IF($B67="","",IFERROR(IF(INDEX('02_DS_Nhan_Viec'!$H:$H,MATCH($B67,'02_DS_Nhan_Viec'!$B:$B,0))=0,"",INDEX('02_DS_Nhan_Viec'!$H:$H,MATCH($B67,'02_DS_Nhan_Viec'!$B:$B,0))),""))</f>
      </c>
      <c r="AB67" s="60">
        <f t="array" ref="AB67">IF($B67="","",IFERROR(IF(INDEX('02_DS_Nhan_Viec'!$I:$I,MATCH($B67,'02_DS_Nhan_Viec'!$B:$B,0))=0,"",INDEX('02_DS_Nhan_Viec'!$I:$I,MATCH($B67,'02_DS_Nhan_Viec'!$B:$B,0))),""))</f>
      </c>
      <c r="AC67" s="61">
        <f t="array" ref="AC67">IF($B67="","",IF($C67="","Đang theo dõi",IF(OR(IFERROR(INDEX('05_Theo_Doi_Gio_Cong_7_Ngay'!$R:$R,MATCH($C67,'05_Theo_Doi_Gio_Cong_7_Ngay'!$B:$B,0)),"")="",IFERROR(INDEX('05_Theo_Doi_Gio_Cong_7_Ngay'!$R:$R,MATCH($C67,'05_Theo_Doi_Gio_Cong_7_Ngay'!$B:$B,0)),0)=0),"Đang theo dõi",IFERROR(INDEX('06_DS_Chinh_Thuc'!$K:$K,MATCH(IFERROR(INDEX('05_Theo_Doi_Gio_Cong_7_Ngay'!$R:$R,MATCH($C67,'05_Theo_Doi_Gio_Cong_7_Ngay'!$B:$B,0)),0),'06_DS_Chinh_Thuc'!$B:$B,0)),"Đang theo dõi"))))</f>
      </c>
    </row>
    <row r="68" ht="14.25" customHeight="1" spans="1:29" x14ac:dyDescent="0.25">
      <c r="A68" s="52">
        <f t="shared" si="0"/>
      </c>
      <c r="B68" s="52">
        <f t="array" ref="B68">IFERROR(INDEX('02_DS_Nhan_Viec'!$B:$B,MATCH(67,'02_DS_Nhan_Viec'!$M:$M,0)),"")</f>
      </c>
      <c r="C68" s="52">
        <f t="array" ref="C68">IF($B68="","",IFERROR(IF(INDEX('02_DS_Nhan_Viec'!$J:$J,MATCH($B68,'02_DS_Nhan_Viec'!$B:$B,0))=0,"",INDEX('02_DS_Nhan_Viec'!$J:$J,MATCH($B68,'02_DS_Nhan_Viec'!$B:$B,0))),""))</f>
      </c>
      <c r="D68" s="52">
        <f t="array" ref="D68">IF($C68="","",IFERROR(IF(INDEX('05_Theo_Doi_Gio_Cong_7_Ngay'!$R:$R,MATCH($C68,'05_Theo_Doi_Gio_Cong_7_Ngay'!$B:$B,0))=0,"",INDEX('05_Theo_Doi_Gio_Cong_7_Ngay'!$R:$R,MATCH($C68,'05_Theo_Doi_Gio_Cong_7_Ngay'!$B:$B,0))),""))</f>
      </c>
      <c r="E68" s="60">
        <f t="array" ref="E68">IF($B68="","",IFERROR(IF(INDEX('01_UngVien_PhongVan'!$D:$D,MATCH($B68,'01_UngVien_PhongVan'!$B:$B,0))=0,"",INDEX('01_UngVien_PhongVan'!$D:$D,MATCH($B68,'01_UngVien_PhongVan'!$B:$B,0))),""))</f>
      </c>
      <c r="F68" s="52">
        <f t="array" ref="F68">IF($B68="","",IFERROR(IF(INDEX('01_UngVien_PhongVan'!$F:$F,MATCH($B68,'01_UngVien_PhongVan'!$B:$B,0))=0,"",INDEX('01_UngVien_PhongVan'!$F:$F,MATCH($B68,'01_UngVien_PhongVan'!$B:$B,0))),""))</f>
      </c>
      <c r="G68" s="72">
        <f t="array" ref="G68">IF($B68="","",IFERROR(IF(INDEX('01_UngVien_PhongVan'!$G:$G,MATCH($B68,'01_UngVien_PhongVan'!$B:$B,0))=0,"",INDEX('01_UngVien_PhongVan'!$G:$G,MATCH($B68,'01_UngVien_PhongVan'!$B:$B,0))),""))</f>
      </c>
      <c r="H68" s="52">
        <f t="array" ref="H68">IF($B68="","",IFERROR(IF(INDEX('01_UngVien_PhongVan'!$H:$H,MATCH($B68,'01_UngVien_PhongVan'!$B:$B,0))=0,"",INDEX('01_UngVien_PhongVan'!$H:$H,MATCH($B68,'01_UngVien_PhongVan'!$B:$B,0))),""))</f>
      </c>
      <c r="I68" s="60">
        <f t="array" ref="I68">IF($B68="","",IFERROR(IF(INDEX('01_UngVien_PhongVan'!$I:$I,MATCH($B68,'01_UngVien_PhongVan'!$B:$B,0))=0,"",INDEX('01_UngVien_PhongVan'!$I:$I,MATCH($B68,'01_UngVien_PhongVan'!$B:$B,0))),""))</f>
      </c>
      <c r="J68" s="60">
        <f t="array" ref="J68">IF($B68="","",IFERROR(IF(INDEX('01_UngVien_PhongVan'!$J:$J,MATCH($B68,'01_UngVien_PhongVan'!$B:$B,0))=0,"",INDEX('01_UngVien_PhongVan'!$J:$J,MATCH($B68,'01_UngVien_PhongVan'!$B:$B,0))),""))</f>
      </c>
      <c r="K68" s="73">
        <f t="array" ref="K68">IF($B68="","",IFERROR(IF(INDEX('01_UngVien_PhongVan'!$K:$K,MATCH($B68,'01_UngVien_PhongVan'!$B:$B,0))=0,"",INDEX('01_UngVien_PhongVan'!$K:$K,MATCH($B68,'01_UngVien_PhongVan'!$B:$B,0))),""))</f>
      </c>
      <c r="L68" s="60">
        <f t="array" ref="L68">IF($B68="","",IFERROR(IF(INDEX('01_UngVien_PhongVan'!$L:$L,MATCH($B68,'01_UngVien_PhongVan'!$B:$B,0))=0,"",INDEX('01_UngVien_PhongVan'!$L:$L,MATCH($B68,'01_UngVien_PhongVan'!$B:$B,0))),""))</f>
      </c>
      <c r="M68" s="60">
        <f t="array" ref="M68">IF($B68="","",IFERROR(IF(INDEX('01_UngVien_PhongVan'!$E:$E,MATCH($B68,'01_UngVien_PhongVan'!$B:$B,0))=0,"",INDEX('01_UngVien_PhongVan'!$E:$E,MATCH($B68,'01_UngVien_PhongVan'!$B:$B,0))),""))</f>
      </c>
      <c r="N68" s="60">
        <f t="array" ref="N68">IF($B68="","",IFERROR(IF(INDEX('01_UngVien_PhongVan'!$M:$M,MATCH($B68,'01_UngVien_PhongVan'!$B:$B,0))=0,"",INDEX('01_UngVien_PhongVan'!$M:$M,MATCH($B68,'01_UngVien_PhongVan'!$B:$B,0))),""))</f>
      </c>
      <c r="O68" s="60">
        <f t="array" ref="O68">IF($B68="","",IFERROR(IF(INDEX('01_UngVien_PhongVan'!$N:$N,MATCH($B68,'01_UngVien_PhongVan'!$B:$B,0))=0,"",INDEX('01_UngVien_PhongVan'!$N:$N,MATCH($B68,'01_UngVien_PhongVan'!$B:$B,0))),""))</f>
      </c>
      <c r="P68" s="60">
        <f t="array" ref="P68">IF($B68="","",IFERROR(IF(INDEX('01_UngVien_PhongVan'!$O:$O,MATCH($B68,'01_UngVien_PhongVan'!$B:$B,0))=0,"",INDEX('01_UngVien_PhongVan'!$O:$O,MATCH($B68,'01_UngVien_PhongVan'!$B:$B,0))),""))</f>
      </c>
      <c r="Q68" s="60">
        <f t="array" ref="Q68">IF($B68="","",IFERROR(IF(INDEX('01_UngVien_PhongVan'!$P:$P,MATCH($B68,'01_UngVien_PhongVan'!$B:$B,0))=0,"",INDEX('01_UngVien_PhongVan'!$P:$P,MATCH($B68,'01_UngVien_PhongVan'!$B:$B,0))),""))</f>
      </c>
      <c r="R68" s="60">
        <f t="array" ref="R68">IF($B68="","",IFERROR(IF(INDEX('01_UngVien_PhongVan'!$Q:$Q,MATCH($B68,'01_UngVien_PhongVan'!$B:$B,0))=0,"",INDEX('01_UngVien_PhongVan'!$Q:$Q,MATCH($B68,'01_UngVien_PhongVan'!$B:$B,0))),""))</f>
      </c>
      <c r="S68" s="60">
        <f t="array" ref="S68">IF($B68="","",IFERROR(IF(INDEX('01_UngVien_PhongVan'!$R:$R,MATCH($B68,'01_UngVien_PhongVan'!$B:$B,0))=0,"",INDEX('01_UngVien_PhongVan'!$R:$R,MATCH($B68,'01_UngVien_PhongVan'!$B:$B,0))),""))</f>
      </c>
      <c r="T68" s="60">
        <f t="array" ref="T68">IF($B68="","",IFERROR(IF(INDEX('01_UngVien_PhongVan'!$U:$U,MATCH($B68,'01_UngVien_PhongVan'!$B:$B,0))=0,"",INDEX('01_UngVien_PhongVan'!$U:$U,MATCH($B68,'01_UngVien_PhongVan'!$B:$B,0))),""))</f>
      </c>
      <c r="U68" s="73">
        <f t="array" ref="U68">IF($B68="","",IFERROR(IF(INDEX('01_UngVien_PhongVan'!$C:$C,MATCH($B68,'01_UngVien_PhongVan'!$B:$B,0))=0,"",INDEX('01_UngVien_PhongVan'!$C:$C,MATCH($B68,'01_UngVien_PhongVan'!$B:$B,0))),""))</f>
      </c>
      <c r="V68" s="73">
        <f t="array" ref="V68">IF($B68="","",IFERROR(IF(INDEX('02_DS_Nhan_Viec'!$D:$D,MATCH($B68,'02_DS_Nhan_Viec'!$B:$B,0))=0,"",INDEX('02_DS_Nhan_Viec'!$D:$D,MATCH($B68,'02_DS_Nhan_Viec'!$B:$B,0))),""))</f>
      </c>
      <c r="W68" s="73">
        <f t="array" ref="W68">IF($B68="","",IFERROR(IF(INDEX('02_DS_Nhan_Viec'!$E:$E,MATCH($B68,'02_DS_Nhan_Viec'!$B:$B,0))=0,"",INDEX('02_DS_Nhan_Viec'!$E:$E,MATCH($B68,'02_DS_Nhan_Viec'!$B:$B,0))),""))</f>
      </c>
      <c r="X68" s="73">
        <f t="array" ref="X68">IF($C68="","",IFERROR(IF(INDEX('05_Theo_Doi_Gio_Cong_7_Ngay'!$P:$P,MATCH($C68,'05_Theo_Doi_Gio_Cong_7_Ngay'!$B:$B,0))=0,"",INDEX('05_Theo_Doi_Gio_Cong_7_Ngay'!$P:$P,MATCH($C68,'05_Theo_Doi_Gio_Cong_7_Ngay'!$B:$B,0))),""))</f>
      </c>
      <c r="Y68" s="60">
        <f t="array" ref="Y68">IF($C68="","",IFERROR(IF(INDEX('05_Theo_Doi_Gio_Cong_7_Ngay'!$M:$M,MATCH($C68,'05_Theo_Doi_Gio_Cong_7_Ngay'!$B:$B,0))=0,"",INDEX('05_Theo_Doi_Gio_Cong_7_Ngay'!$M:$M,MATCH($C68,'05_Theo_Doi_Gio_Cong_7_Ngay'!$B:$B,0))),""))</f>
      </c>
      <c r="Z68" s="60">
        <f t="array" ref="Z68">IF($C68="","",IFERROR(IF(INDEX('05_Theo_Doi_Gio_Cong_7_Ngay'!$Q:$Q,MATCH($C68,'05_Theo_Doi_Gio_Cong_7_Ngay'!$B:$B,0))=0,"",INDEX('05_Theo_Doi_Gio_Cong_7_Ngay'!$Q:$Q,MATCH($C68,'05_Theo_Doi_Gio_Cong_7_Ngay'!$B:$B,0))),""))</f>
      </c>
      <c r="AA68" s="60">
        <f t="array" ref="AA68">IF($B68="","",IFERROR(IF(INDEX('02_DS_Nhan_Viec'!$H:$H,MATCH($B68,'02_DS_Nhan_Viec'!$B:$B,0))=0,"",INDEX('02_DS_Nhan_Viec'!$H:$H,MATCH($B68,'02_DS_Nhan_Viec'!$B:$B,0))),""))</f>
      </c>
      <c r="AB68" s="60">
        <f t="array" ref="AB68">IF($B68="","",IFERROR(IF(INDEX('02_DS_Nhan_Viec'!$I:$I,MATCH($B68,'02_DS_Nhan_Viec'!$B:$B,0))=0,"",INDEX('02_DS_Nhan_Viec'!$I:$I,MATCH($B68,'02_DS_Nhan_Viec'!$B:$B,0))),""))</f>
      </c>
      <c r="AC68" s="61">
        <f t="array" ref="AC68">IF($B68="","",IF($C68="","Đang theo dõi",IF(OR(IFERROR(INDEX('05_Theo_Doi_Gio_Cong_7_Ngay'!$R:$R,MATCH($C68,'05_Theo_Doi_Gio_Cong_7_Ngay'!$B:$B,0)),"")="",IFERROR(INDEX('05_Theo_Doi_Gio_Cong_7_Ngay'!$R:$R,MATCH($C68,'05_Theo_Doi_Gio_Cong_7_Ngay'!$B:$B,0)),0)=0),"Đang theo dõi",IFERROR(INDEX('06_DS_Chinh_Thuc'!$K:$K,MATCH(IFERROR(INDEX('05_Theo_Doi_Gio_Cong_7_Ngay'!$R:$R,MATCH($C68,'05_Theo_Doi_Gio_Cong_7_Ngay'!$B:$B,0)),0),'06_DS_Chinh_Thuc'!$B:$B,0)),"Đang theo dõi"))))</f>
      </c>
    </row>
    <row r="69" ht="14.25" customHeight="1" spans="1:29" x14ac:dyDescent="0.25">
      <c r="A69" s="52">
        <f t="shared" si="0"/>
      </c>
      <c r="B69" s="52">
        <f t="array" ref="B69">IFERROR(INDEX('02_DS_Nhan_Viec'!$B:$B,MATCH(68,'02_DS_Nhan_Viec'!$M:$M,0)),"")</f>
      </c>
      <c r="C69" s="52">
        <f t="array" ref="C69">IF($B69="","",IFERROR(IF(INDEX('02_DS_Nhan_Viec'!$J:$J,MATCH($B69,'02_DS_Nhan_Viec'!$B:$B,0))=0,"",INDEX('02_DS_Nhan_Viec'!$J:$J,MATCH($B69,'02_DS_Nhan_Viec'!$B:$B,0))),""))</f>
      </c>
      <c r="D69" s="52">
        <f t="array" ref="D69">IF($C69="","",IFERROR(IF(INDEX('05_Theo_Doi_Gio_Cong_7_Ngay'!$R:$R,MATCH($C69,'05_Theo_Doi_Gio_Cong_7_Ngay'!$B:$B,0))=0,"",INDEX('05_Theo_Doi_Gio_Cong_7_Ngay'!$R:$R,MATCH($C69,'05_Theo_Doi_Gio_Cong_7_Ngay'!$B:$B,0))),""))</f>
      </c>
      <c r="E69" s="60">
        <f t="array" ref="E69">IF($B69="","",IFERROR(IF(INDEX('01_UngVien_PhongVan'!$D:$D,MATCH($B69,'01_UngVien_PhongVan'!$B:$B,0))=0,"",INDEX('01_UngVien_PhongVan'!$D:$D,MATCH($B69,'01_UngVien_PhongVan'!$B:$B,0))),""))</f>
      </c>
      <c r="F69" s="52">
        <f t="array" ref="F69">IF($B69="","",IFERROR(IF(INDEX('01_UngVien_PhongVan'!$F:$F,MATCH($B69,'01_UngVien_PhongVan'!$B:$B,0))=0,"",INDEX('01_UngVien_PhongVan'!$F:$F,MATCH($B69,'01_UngVien_PhongVan'!$B:$B,0))),""))</f>
      </c>
      <c r="G69" s="72">
        <f t="array" ref="G69">IF($B69="","",IFERROR(IF(INDEX('01_UngVien_PhongVan'!$G:$G,MATCH($B69,'01_UngVien_PhongVan'!$B:$B,0))=0,"",INDEX('01_UngVien_PhongVan'!$G:$G,MATCH($B69,'01_UngVien_PhongVan'!$B:$B,0))),""))</f>
      </c>
      <c r="H69" s="52">
        <f t="array" ref="H69">IF($B69="","",IFERROR(IF(INDEX('01_UngVien_PhongVan'!$H:$H,MATCH($B69,'01_UngVien_PhongVan'!$B:$B,0))=0,"",INDEX('01_UngVien_PhongVan'!$H:$H,MATCH($B69,'01_UngVien_PhongVan'!$B:$B,0))),""))</f>
      </c>
      <c r="I69" s="60">
        <f t="array" ref="I69">IF($B69="","",IFERROR(IF(INDEX('01_UngVien_PhongVan'!$I:$I,MATCH($B69,'01_UngVien_PhongVan'!$B:$B,0))=0,"",INDEX('01_UngVien_PhongVan'!$I:$I,MATCH($B69,'01_UngVien_PhongVan'!$B:$B,0))),""))</f>
      </c>
      <c r="J69" s="60">
        <f t="array" ref="J69">IF($B69="","",IFERROR(IF(INDEX('01_UngVien_PhongVan'!$J:$J,MATCH($B69,'01_UngVien_PhongVan'!$B:$B,0))=0,"",INDEX('01_UngVien_PhongVan'!$J:$J,MATCH($B69,'01_UngVien_PhongVan'!$B:$B,0))),""))</f>
      </c>
      <c r="K69" s="73">
        <f t="array" ref="K69">IF($B69="","",IFERROR(IF(INDEX('01_UngVien_PhongVan'!$K:$K,MATCH($B69,'01_UngVien_PhongVan'!$B:$B,0))=0,"",INDEX('01_UngVien_PhongVan'!$K:$K,MATCH($B69,'01_UngVien_PhongVan'!$B:$B,0))),""))</f>
      </c>
      <c r="L69" s="60">
        <f t="array" ref="L69">IF($B69="","",IFERROR(IF(INDEX('01_UngVien_PhongVan'!$L:$L,MATCH($B69,'01_UngVien_PhongVan'!$B:$B,0))=0,"",INDEX('01_UngVien_PhongVan'!$L:$L,MATCH($B69,'01_UngVien_PhongVan'!$B:$B,0))),""))</f>
      </c>
      <c r="M69" s="60">
        <f t="array" ref="M69">IF($B69="","",IFERROR(IF(INDEX('01_UngVien_PhongVan'!$E:$E,MATCH($B69,'01_UngVien_PhongVan'!$B:$B,0))=0,"",INDEX('01_UngVien_PhongVan'!$E:$E,MATCH($B69,'01_UngVien_PhongVan'!$B:$B,0))),""))</f>
      </c>
      <c r="N69" s="60">
        <f t="array" ref="N69">IF($B69="","",IFERROR(IF(INDEX('01_UngVien_PhongVan'!$M:$M,MATCH($B69,'01_UngVien_PhongVan'!$B:$B,0))=0,"",INDEX('01_UngVien_PhongVan'!$M:$M,MATCH($B69,'01_UngVien_PhongVan'!$B:$B,0))),""))</f>
      </c>
      <c r="O69" s="60">
        <f t="array" ref="O69">IF($B69="","",IFERROR(IF(INDEX('01_UngVien_PhongVan'!$N:$N,MATCH($B69,'01_UngVien_PhongVan'!$B:$B,0))=0,"",INDEX('01_UngVien_PhongVan'!$N:$N,MATCH($B69,'01_UngVien_PhongVan'!$B:$B,0))),""))</f>
      </c>
      <c r="P69" s="60">
        <f t="array" ref="P69">IF($B69="","",IFERROR(IF(INDEX('01_UngVien_PhongVan'!$O:$O,MATCH($B69,'01_UngVien_PhongVan'!$B:$B,0))=0,"",INDEX('01_UngVien_PhongVan'!$O:$O,MATCH($B69,'01_UngVien_PhongVan'!$B:$B,0))),""))</f>
      </c>
      <c r="Q69" s="60">
        <f t="array" ref="Q69">IF($B69="","",IFERROR(IF(INDEX('01_UngVien_PhongVan'!$P:$P,MATCH($B69,'01_UngVien_PhongVan'!$B:$B,0))=0,"",INDEX('01_UngVien_PhongVan'!$P:$P,MATCH($B69,'01_UngVien_PhongVan'!$B:$B,0))),""))</f>
      </c>
      <c r="R69" s="60">
        <f t="array" ref="R69">IF($B69="","",IFERROR(IF(INDEX('01_UngVien_PhongVan'!$Q:$Q,MATCH($B69,'01_UngVien_PhongVan'!$B:$B,0))=0,"",INDEX('01_UngVien_PhongVan'!$Q:$Q,MATCH($B69,'01_UngVien_PhongVan'!$B:$B,0))),""))</f>
      </c>
      <c r="S69" s="60">
        <f t="array" ref="S69">IF($B69="","",IFERROR(IF(INDEX('01_UngVien_PhongVan'!$R:$R,MATCH($B69,'01_UngVien_PhongVan'!$B:$B,0))=0,"",INDEX('01_UngVien_PhongVan'!$R:$R,MATCH($B69,'01_UngVien_PhongVan'!$B:$B,0))),""))</f>
      </c>
      <c r="T69" s="60">
        <f t="array" ref="T69">IF($B69="","",IFERROR(IF(INDEX('01_UngVien_PhongVan'!$U:$U,MATCH($B69,'01_UngVien_PhongVan'!$B:$B,0))=0,"",INDEX('01_UngVien_PhongVan'!$U:$U,MATCH($B69,'01_UngVien_PhongVan'!$B:$B,0))),""))</f>
      </c>
      <c r="U69" s="73">
        <f t="array" ref="U69">IF($B69="","",IFERROR(IF(INDEX('01_UngVien_PhongVan'!$C:$C,MATCH($B69,'01_UngVien_PhongVan'!$B:$B,0))=0,"",INDEX('01_UngVien_PhongVan'!$C:$C,MATCH($B69,'01_UngVien_PhongVan'!$B:$B,0))),""))</f>
      </c>
      <c r="V69" s="73">
        <f t="array" ref="V69">IF($B69="","",IFERROR(IF(INDEX('02_DS_Nhan_Viec'!$D:$D,MATCH($B69,'02_DS_Nhan_Viec'!$B:$B,0))=0,"",INDEX('02_DS_Nhan_Viec'!$D:$D,MATCH($B69,'02_DS_Nhan_Viec'!$B:$B,0))),""))</f>
      </c>
      <c r="W69" s="73">
        <f t="array" ref="W69">IF($B69="","",IFERROR(IF(INDEX('02_DS_Nhan_Viec'!$E:$E,MATCH($B69,'02_DS_Nhan_Viec'!$B:$B,0))=0,"",INDEX('02_DS_Nhan_Viec'!$E:$E,MATCH($B69,'02_DS_Nhan_Viec'!$B:$B,0))),""))</f>
      </c>
      <c r="X69" s="73">
        <f t="array" ref="X69">IF($C69="","",IFERROR(IF(INDEX('05_Theo_Doi_Gio_Cong_7_Ngay'!$P:$P,MATCH($C69,'05_Theo_Doi_Gio_Cong_7_Ngay'!$B:$B,0))=0,"",INDEX('05_Theo_Doi_Gio_Cong_7_Ngay'!$P:$P,MATCH($C69,'05_Theo_Doi_Gio_Cong_7_Ngay'!$B:$B,0))),""))</f>
      </c>
      <c r="Y69" s="60">
        <f t="array" ref="Y69">IF($C69="","",IFERROR(IF(INDEX('05_Theo_Doi_Gio_Cong_7_Ngay'!$M:$M,MATCH($C69,'05_Theo_Doi_Gio_Cong_7_Ngay'!$B:$B,0))=0,"",INDEX('05_Theo_Doi_Gio_Cong_7_Ngay'!$M:$M,MATCH($C69,'05_Theo_Doi_Gio_Cong_7_Ngay'!$B:$B,0))),""))</f>
      </c>
      <c r="Z69" s="60">
        <f t="array" ref="Z69">IF($C69="","",IFERROR(IF(INDEX('05_Theo_Doi_Gio_Cong_7_Ngay'!$Q:$Q,MATCH($C69,'05_Theo_Doi_Gio_Cong_7_Ngay'!$B:$B,0))=0,"",INDEX('05_Theo_Doi_Gio_Cong_7_Ngay'!$Q:$Q,MATCH($C69,'05_Theo_Doi_Gio_Cong_7_Ngay'!$B:$B,0))),""))</f>
      </c>
      <c r="AA69" s="60">
        <f t="array" ref="AA69">IF($B69="","",IFERROR(IF(INDEX('02_DS_Nhan_Viec'!$H:$H,MATCH($B69,'02_DS_Nhan_Viec'!$B:$B,0))=0,"",INDEX('02_DS_Nhan_Viec'!$H:$H,MATCH($B69,'02_DS_Nhan_Viec'!$B:$B,0))),""))</f>
      </c>
      <c r="AB69" s="60">
        <f t="array" ref="AB69">IF($B69="","",IFERROR(IF(INDEX('02_DS_Nhan_Viec'!$I:$I,MATCH($B69,'02_DS_Nhan_Viec'!$B:$B,0))=0,"",INDEX('02_DS_Nhan_Viec'!$I:$I,MATCH($B69,'02_DS_Nhan_Viec'!$B:$B,0))),""))</f>
      </c>
      <c r="AC69" s="61">
        <f t="array" ref="AC69">IF($B69="","",IF($C69="","Đang theo dõi",IF(OR(IFERROR(INDEX('05_Theo_Doi_Gio_Cong_7_Ngay'!$R:$R,MATCH($C69,'05_Theo_Doi_Gio_Cong_7_Ngay'!$B:$B,0)),"")="",IFERROR(INDEX('05_Theo_Doi_Gio_Cong_7_Ngay'!$R:$R,MATCH($C69,'05_Theo_Doi_Gio_Cong_7_Ngay'!$B:$B,0)),0)=0),"Đang theo dõi",IFERROR(INDEX('06_DS_Chinh_Thuc'!$K:$K,MATCH(IFERROR(INDEX('05_Theo_Doi_Gio_Cong_7_Ngay'!$R:$R,MATCH($C69,'05_Theo_Doi_Gio_Cong_7_Ngay'!$B:$B,0)),0),'06_DS_Chinh_Thuc'!$B:$B,0)),"Đang theo dõi"))))</f>
      </c>
    </row>
    <row r="70" ht="14.25" customHeight="1" spans="1:29" x14ac:dyDescent="0.25">
      <c r="A70" s="52">
        <f t="shared" si="0"/>
      </c>
      <c r="B70" s="52">
        <f t="array" ref="B70">IFERROR(INDEX('02_DS_Nhan_Viec'!$B:$B,MATCH(69,'02_DS_Nhan_Viec'!$M:$M,0)),"")</f>
      </c>
      <c r="C70" s="52">
        <f t="array" ref="C70">IF($B70="","",IFERROR(IF(INDEX('02_DS_Nhan_Viec'!$J:$J,MATCH($B70,'02_DS_Nhan_Viec'!$B:$B,0))=0,"",INDEX('02_DS_Nhan_Viec'!$J:$J,MATCH($B70,'02_DS_Nhan_Viec'!$B:$B,0))),""))</f>
      </c>
      <c r="D70" s="52">
        <f t="array" ref="D70">IF($C70="","",IFERROR(IF(INDEX('05_Theo_Doi_Gio_Cong_7_Ngay'!$R:$R,MATCH($C70,'05_Theo_Doi_Gio_Cong_7_Ngay'!$B:$B,0))=0,"",INDEX('05_Theo_Doi_Gio_Cong_7_Ngay'!$R:$R,MATCH($C70,'05_Theo_Doi_Gio_Cong_7_Ngay'!$B:$B,0))),""))</f>
      </c>
      <c r="E70" s="60">
        <f t="array" ref="E70">IF($B70="","",IFERROR(IF(INDEX('01_UngVien_PhongVan'!$D:$D,MATCH($B70,'01_UngVien_PhongVan'!$B:$B,0))=0,"",INDEX('01_UngVien_PhongVan'!$D:$D,MATCH($B70,'01_UngVien_PhongVan'!$B:$B,0))),""))</f>
      </c>
      <c r="F70" s="52">
        <f t="array" ref="F70">IF($B70="","",IFERROR(IF(INDEX('01_UngVien_PhongVan'!$F:$F,MATCH($B70,'01_UngVien_PhongVan'!$B:$B,0))=0,"",INDEX('01_UngVien_PhongVan'!$F:$F,MATCH($B70,'01_UngVien_PhongVan'!$B:$B,0))),""))</f>
      </c>
      <c r="G70" s="72">
        <f t="array" ref="G70">IF($B70="","",IFERROR(IF(INDEX('01_UngVien_PhongVan'!$G:$G,MATCH($B70,'01_UngVien_PhongVan'!$B:$B,0))=0,"",INDEX('01_UngVien_PhongVan'!$G:$G,MATCH($B70,'01_UngVien_PhongVan'!$B:$B,0))),""))</f>
      </c>
      <c r="H70" s="52">
        <f t="array" ref="H70">IF($B70="","",IFERROR(IF(INDEX('01_UngVien_PhongVan'!$H:$H,MATCH($B70,'01_UngVien_PhongVan'!$B:$B,0))=0,"",INDEX('01_UngVien_PhongVan'!$H:$H,MATCH($B70,'01_UngVien_PhongVan'!$B:$B,0))),""))</f>
      </c>
      <c r="I70" s="60">
        <f t="array" ref="I70">IF($B70="","",IFERROR(IF(INDEX('01_UngVien_PhongVan'!$I:$I,MATCH($B70,'01_UngVien_PhongVan'!$B:$B,0))=0,"",INDEX('01_UngVien_PhongVan'!$I:$I,MATCH($B70,'01_UngVien_PhongVan'!$B:$B,0))),""))</f>
      </c>
      <c r="J70" s="60">
        <f t="array" ref="J70">IF($B70="","",IFERROR(IF(INDEX('01_UngVien_PhongVan'!$J:$J,MATCH($B70,'01_UngVien_PhongVan'!$B:$B,0))=0,"",INDEX('01_UngVien_PhongVan'!$J:$J,MATCH($B70,'01_UngVien_PhongVan'!$B:$B,0))),""))</f>
      </c>
      <c r="K70" s="73">
        <f t="array" ref="K70">IF($B70="","",IFERROR(IF(INDEX('01_UngVien_PhongVan'!$K:$K,MATCH($B70,'01_UngVien_PhongVan'!$B:$B,0))=0,"",INDEX('01_UngVien_PhongVan'!$K:$K,MATCH($B70,'01_UngVien_PhongVan'!$B:$B,0))),""))</f>
      </c>
      <c r="L70" s="60">
        <f t="array" ref="L70">IF($B70="","",IFERROR(IF(INDEX('01_UngVien_PhongVan'!$L:$L,MATCH($B70,'01_UngVien_PhongVan'!$B:$B,0))=0,"",INDEX('01_UngVien_PhongVan'!$L:$L,MATCH($B70,'01_UngVien_PhongVan'!$B:$B,0))),""))</f>
      </c>
      <c r="M70" s="60">
        <f t="array" ref="M70">IF($B70="","",IFERROR(IF(INDEX('01_UngVien_PhongVan'!$E:$E,MATCH($B70,'01_UngVien_PhongVan'!$B:$B,0))=0,"",INDEX('01_UngVien_PhongVan'!$E:$E,MATCH($B70,'01_UngVien_PhongVan'!$B:$B,0))),""))</f>
      </c>
      <c r="N70" s="60">
        <f t="array" ref="N70">IF($B70="","",IFERROR(IF(INDEX('01_UngVien_PhongVan'!$M:$M,MATCH($B70,'01_UngVien_PhongVan'!$B:$B,0))=0,"",INDEX('01_UngVien_PhongVan'!$M:$M,MATCH($B70,'01_UngVien_PhongVan'!$B:$B,0))),""))</f>
      </c>
      <c r="O70" s="60">
        <f t="array" ref="O70">IF($B70="","",IFERROR(IF(INDEX('01_UngVien_PhongVan'!$N:$N,MATCH($B70,'01_UngVien_PhongVan'!$B:$B,0))=0,"",INDEX('01_UngVien_PhongVan'!$N:$N,MATCH($B70,'01_UngVien_PhongVan'!$B:$B,0))),""))</f>
      </c>
      <c r="P70" s="60">
        <f t="array" ref="P70">IF($B70="","",IFERROR(IF(INDEX('01_UngVien_PhongVan'!$O:$O,MATCH($B70,'01_UngVien_PhongVan'!$B:$B,0))=0,"",INDEX('01_UngVien_PhongVan'!$O:$O,MATCH($B70,'01_UngVien_PhongVan'!$B:$B,0))),""))</f>
      </c>
      <c r="Q70" s="60">
        <f t="array" ref="Q70">IF($B70="","",IFERROR(IF(INDEX('01_UngVien_PhongVan'!$P:$P,MATCH($B70,'01_UngVien_PhongVan'!$B:$B,0))=0,"",INDEX('01_UngVien_PhongVan'!$P:$P,MATCH($B70,'01_UngVien_PhongVan'!$B:$B,0))),""))</f>
      </c>
      <c r="R70" s="60">
        <f t="array" ref="R70">IF($B70="","",IFERROR(IF(INDEX('01_UngVien_PhongVan'!$Q:$Q,MATCH($B70,'01_UngVien_PhongVan'!$B:$B,0))=0,"",INDEX('01_UngVien_PhongVan'!$Q:$Q,MATCH($B70,'01_UngVien_PhongVan'!$B:$B,0))),""))</f>
      </c>
      <c r="S70" s="60">
        <f t="array" ref="S70">IF($B70="","",IFERROR(IF(INDEX('01_UngVien_PhongVan'!$R:$R,MATCH($B70,'01_UngVien_PhongVan'!$B:$B,0))=0,"",INDEX('01_UngVien_PhongVan'!$R:$R,MATCH($B70,'01_UngVien_PhongVan'!$B:$B,0))),""))</f>
      </c>
      <c r="T70" s="60">
        <f t="array" ref="T70">IF($B70="","",IFERROR(IF(INDEX('01_UngVien_PhongVan'!$U:$U,MATCH($B70,'01_UngVien_PhongVan'!$B:$B,0))=0,"",INDEX('01_UngVien_PhongVan'!$U:$U,MATCH($B70,'01_UngVien_PhongVan'!$B:$B,0))),""))</f>
      </c>
      <c r="U70" s="73">
        <f t="array" ref="U70">IF($B70="","",IFERROR(IF(INDEX('01_UngVien_PhongVan'!$C:$C,MATCH($B70,'01_UngVien_PhongVan'!$B:$B,0))=0,"",INDEX('01_UngVien_PhongVan'!$C:$C,MATCH($B70,'01_UngVien_PhongVan'!$B:$B,0))),""))</f>
      </c>
      <c r="V70" s="73">
        <f t="array" ref="V70">IF($B70="","",IFERROR(IF(INDEX('02_DS_Nhan_Viec'!$D:$D,MATCH($B70,'02_DS_Nhan_Viec'!$B:$B,0))=0,"",INDEX('02_DS_Nhan_Viec'!$D:$D,MATCH($B70,'02_DS_Nhan_Viec'!$B:$B,0))),""))</f>
      </c>
      <c r="W70" s="73">
        <f t="array" ref="W70">IF($B70="","",IFERROR(IF(INDEX('02_DS_Nhan_Viec'!$E:$E,MATCH($B70,'02_DS_Nhan_Viec'!$B:$B,0))=0,"",INDEX('02_DS_Nhan_Viec'!$E:$E,MATCH($B70,'02_DS_Nhan_Viec'!$B:$B,0))),""))</f>
      </c>
      <c r="X70" s="73">
        <f t="array" ref="X70">IF($C70="","",IFERROR(IF(INDEX('05_Theo_Doi_Gio_Cong_7_Ngay'!$P:$P,MATCH($C70,'05_Theo_Doi_Gio_Cong_7_Ngay'!$B:$B,0))=0,"",INDEX('05_Theo_Doi_Gio_Cong_7_Ngay'!$P:$P,MATCH($C70,'05_Theo_Doi_Gio_Cong_7_Ngay'!$B:$B,0))),""))</f>
      </c>
      <c r="Y70" s="60">
        <f t="array" ref="Y70">IF($C70="","",IFERROR(IF(INDEX('05_Theo_Doi_Gio_Cong_7_Ngay'!$M:$M,MATCH($C70,'05_Theo_Doi_Gio_Cong_7_Ngay'!$B:$B,0))=0,"",INDEX('05_Theo_Doi_Gio_Cong_7_Ngay'!$M:$M,MATCH($C70,'05_Theo_Doi_Gio_Cong_7_Ngay'!$B:$B,0))),""))</f>
      </c>
      <c r="Z70" s="60">
        <f t="array" ref="Z70">IF($C70="","",IFERROR(IF(INDEX('05_Theo_Doi_Gio_Cong_7_Ngay'!$Q:$Q,MATCH($C70,'05_Theo_Doi_Gio_Cong_7_Ngay'!$B:$B,0))=0,"",INDEX('05_Theo_Doi_Gio_Cong_7_Ngay'!$Q:$Q,MATCH($C70,'05_Theo_Doi_Gio_Cong_7_Ngay'!$B:$B,0))),""))</f>
      </c>
      <c r="AA70" s="60">
        <f t="array" ref="AA70">IF($B70="","",IFERROR(IF(INDEX('02_DS_Nhan_Viec'!$H:$H,MATCH($B70,'02_DS_Nhan_Viec'!$B:$B,0))=0,"",INDEX('02_DS_Nhan_Viec'!$H:$H,MATCH($B70,'02_DS_Nhan_Viec'!$B:$B,0))),""))</f>
      </c>
      <c r="AB70" s="60">
        <f t="array" ref="AB70">IF($B70="","",IFERROR(IF(INDEX('02_DS_Nhan_Viec'!$I:$I,MATCH($B70,'02_DS_Nhan_Viec'!$B:$B,0))=0,"",INDEX('02_DS_Nhan_Viec'!$I:$I,MATCH($B70,'02_DS_Nhan_Viec'!$B:$B,0))),""))</f>
      </c>
      <c r="AC70" s="61">
        <f t="array" ref="AC70">IF($B70="","",IF($C70="","Đang theo dõi",IF(OR(IFERROR(INDEX('05_Theo_Doi_Gio_Cong_7_Ngay'!$R:$R,MATCH($C70,'05_Theo_Doi_Gio_Cong_7_Ngay'!$B:$B,0)),"")="",IFERROR(INDEX('05_Theo_Doi_Gio_Cong_7_Ngay'!$R:$R,MATCH($C70,'05_Theo_Doi_Gio_Cong_7_Ngay'!$B:$B,0)),0)=0),"Đang theo dõi",IFERROR(INDEX('06_DS_Chinh_Thuc'!$K:$K,MATCH(IFERROR(INDEX('05_Theo_Doi_Gio_Cong_7_Ngay'!$R:$R,MATCH($C70,'05_Theo_Doi_Gio_Cong_7_Ngay'!$B:$B,0)),0),'06_DS_Chinh_Thuc'!$B:$B,0)),"Đang theo dõi"))))</f>
      </c>
    </row>
    <row r="71" ht="14.25" customHeight="1" spans="1:29" x14ac:dyDescent="0.25">
      <c r="A71" s="52">
        <f t="shared" si="0"/>
      </c>
      <c r="B71" s="52">
        <f t="array" ref="B71">IFERROR(INDEX('02_DS_Nhan_Viec'!$B:$B,MATCH(70,'02_DS_Nhan_Viec'!$M:$M,0)),"")</f>
      </c>
      <c r="C71" s="52">
        <f t="array" ref="C71">IF($B71="","",IFERROR(IF(INDEX('02_DS_Nhan_Viec'!$J:$J,MATCH($B71,'02_DS_Nhan_Viec'!$B:$B,0))=0,"",INDEX('02_DS_Nhan_Viec'!$J:$J,MATCH($B71,'02_DS_Nhan_Viec'!$B:$B,0))),""))</f>
      </c>
      <c r="D71" s="52">
        <f t="array" ref="D71">IF($C71="","",IFERROR(IF(INDEX('05_Theo_Doi_Gio_Cong_7_Ngay'!$R:$R,MATCH($C71,'05_Theo_Doi_Gio_Cong_7_Ngay'!$B:$B,0))=0,"",INDEX('05_Theo_Doi_Gio_Cong_7_Ngay'!$R:$R,MATCH($C71,'05_Theo_Doi_Gio_Cong_7_Ngay'!$B:$B,0))),""))</f>
      </c>
      <c r="E71" s="60">
        <f t="array" ref="E71">IF($B71="","",IFERROR(IF(INDEX('01_UngVien_PhongVan'!$D:$D,MATCH($B71,'01_UngVien_PhongVan'!$B:$B,0))=0,"",INDEX('01_UngVien_PhongVan'!$D:$D,MATCH($B71,'01_UngVien_PhongVan'!$B:$B,0))),""))</f>
      </c>
      <c r="F71" s="52">
        <f t="array" ref="F71">IF($B71="","",IFERROR(IF(INDEX('01_UngVien_PhongVan'!$F:$F,MATCH($B71,'01_UngVien_PhongVan'!$B:$B,0))=0,"",INDEX('01_UngVien_PhongVan'!$F:$F,MATCH($B71,'01_UngVien_PhongVan'!$B:$B,0))),""))</f>
      </c>
      <c r="G71" s="72">
        <f t="array" ref="G71">IF($B71="","",IFERROR(IF(INDEX('01_UngVien_PhongVan'!$G:$G,MATCH($B71,'01_UngVien_PhongVan'!$B:$B,0))=0,"",INDEX('01_UngVien_PhongVan'!$G:$G,MATCH($B71,'01_UngVien_PhongVan'!$B:$B,0))),""))</f>
      </c>
      <c r="H71" s="52">
        <f t="array" ref="H71">IF($B71="","",IFERROR(IF(INDEX('01_UngVien_PhongVan'!$H:$H,MATCH($B71,'01_UngVien_PhongVan'!$B:$B,0))=0,"",INDEX('01_UngVien_PhongVan'!$H:$H,MATCH($B71,'01_UngVien_PhongVan'!$B:$B,0))),""))</f>
      </c>
      <c r="I71" s="60">
        <f t="array" ref="I71">IF($B71="","",IFERROR(IF(INDEX('01_UngVien_PhongVan'!$I:$I,MATCH($B71,'01_UngVien_PhongVan'!$B:$B,0))=0,"",INDEX('01_UngVien_PhongVan'!$I:$I,MATCH($B71,'01_UngVien_PhongVan'!$B:$B,0))),""))</f>
      </c>
      <c r="J71" s="60">
        <f t="array" ref="J71">IF($B71="","",IFERROR(IF(INDEX('01_UngVien_PhongVan'!$J:$J,MATCH($B71,'01_UngVien_PhongVan'!$B:$B,0))=0,"",INDEX('01_UngVien_PhongVan'!$J:$J,MATCH($B71,'01_UngVien_PhongVan'!$B:$B,0))),""))</f>
      </c>
      <c r="K71" s="73">
        <f t="array" ref="K71">IF($B71="","",IFERROR(IF(INDEX('01_UngVien_PhongVan'!$K:$K,MATCH($B71,'01_UngVien_PhongVan'!$B:$B,0))=0,"",INDEX('01_UngVien_PhongVan'!$K:$K,MATCH($B71,'01_UngVien_PhongVan'!$B:$B,0))),""))</f>
      </c>
      <c r="L71" s="60">
        <f t="array" ref="L71">IF($B71="","",IFERROR(IF(INDEX('01_UngVien_PhongVan'!$L:$L,MATCH($B71,'01_UngVien_PhongVan'!$B:$B,0))=0,"",INDEX('01_UngVien_PhongVan'!$L:$L,MATCH($B71,'01_UngVien_PhongVan'!$B:$B,0))),""))</f>
      </c>
      <c r="M71" s="60">
        <f t="array" ref="M71">IF($B71="","",IFERROR(IF(INDEX('01_UngVien_PhongVan'!$E:$E,MATCH($B71,'01_UngVien_PhongVan'!$B:$B,0))=0,"",INDEX('01_UngVien_PhongVan'!$E:$E,MATCH($B71,'01_UngVien_PhongVan'!$B:$B,0))),""))</f>
      </c>
      <c r="N71" s="60">
        <f t="array" ref="N71">IF($B71="","",IFERROR(IF(INDEX('01_UngVien_PhongVan'!$M:$M,MATCH($B71,'01_UngVien_PhongVan'!$B:$B,0))=0,"",INDEX('01_UngVien_PhongVan'!$M:$M,MATCH($B71,'01_UngVien_PhongVan'!$B:$B,0))),""))</f>
      </c>
      <c r="O71" s="60">
        <f t="array" ref="O71">IF($B71="","",IFERROR(IF(INDEX('01_UngVien_PhongVan'!$N:$N,MATCH($B71,'01_UngVien_PhongVan'!$B:$B,0))=0,"",INDEX('01_UngVien_PhongVan'!$N:$N,MATCH($B71,'01_UngVien_PhongVan'!$B:$B,0))),""))</f>
      </c>
      <c r="P71" s="60">
        <f t="array" ref="P71">IF($B71="","",IFERROR(IF(INDEX('01_UngVien_PhongVan'!$O:$O,MATCH($B71,'01_UngVien_PhongVan'!$B:$B,0))=0,"",INDEX('01_UngVien_PhongVan'!$O:$O,MATCH($B71,'01_UngVien_PhongVan'!$B:$B,0))),""))</f>
      </c>
      <c r="Q71" s="60">
        <f t="array" ref="Q71">IF($B71="","",IFERROR(IF(INDEX('01_UngVien_PhongVan'!$P:$P,MATCH($B71,'01_UngVien_PhongVan'!$B:$B,0))=0,"",INDEX('01_UngVien_PhongVan'!$P:$P,MATCH($B71,'01_UngVien_PhongVan'!$B:$B,0))),""))</f>
      </c>
      <c r="R71" s="60">
        <f t="array" ref="R71">IF($B71="","",IFERROR(IF(INDEX('01_UngVien_PhongVan'!$Q:$Q,MATCH($B71,'01_UngVien_PhongVan'!$B:$B,0))=0,"",INDEX('01_UngVien_PhongVan'!$Q:$Q,MATCH($B71,'01_UngVien_PhongVan'!$B:$B,0))),""))</f>
      </c>
      <c r="S71" s="60">
        <f t="array" ref="S71">IF($B71="","",IFERROR(IF(INDEX('01_UngVien_PhongVan'!$R:$R,MATCH($B71,'01_UngVien_PhongVan'!$B:$B,0))=0,"",INDEX('01_UngVien_PhongVan'!$R:$R,MATCH($B71,'01_UngVien_PhongVan'!$B:$B,0))),""))</f>
      </c>
      <c r="T71" s="60">
        <f t="array" ref="T71">IF($B71="","",IFERROR(IF(INDEX('01_UngVien_PhongVan'!$U:$U,MATCH($B71,'01_UngVien_PhongVan'!$B:$B,0))=0,"",INDEX('01_UngVien_PhongVan'!$U:$U,MATCH($B71,'01_UngVien_PhongVan'!$B:$B,0))),""))</f>
      </c>
      <c r="U71" s="73">
        <f t="array" ref="U71">IF($B71="","",IFERROR(IF(INDEX('01_UngVien_PhongVan'!$C:$C,MATCH($B71,'01_UngVien_PhongVan'!$B:$B,0))=0,"",INDEX('01_UngVien_PhongVan'!$C:$C,MATCH($B71,'01_UngVien_PhongVan'!$B:$B,0))),""))</f>
      </c>
      <c r="V71" s="73">
        <f t="array" ref="V71">IF($B71="","",IFERROR(IF(INDEX('02_DS_Nhan_Viec'!$D:$D,MATCH($B71,'02_DS_Nhan_Viec'!$B:$B,0))=0,"",INDEX('02_DS_Nhan_Viec'!$D:$D,MATCH($B71,'02_DS_Nhan_Viec'!$B:$B,0))),""))</f>
      </c>
      <c r="W71" s="73">
        <f t="array" ref="W71">IF($B71="","",IFERROR(IF(INDEX('02_DS_Nhan_Viec'!$E:$E,MATCH($B71,'02_DS_Nhan_Viec'!$B:$B,0))=0,"",INDEX('02_DS_Nhan_Viec'!$E:$E,MATCH($B71,'02_DS_Nhan_Viec'!$B:$B,0))),""))</f>
      </c>
      <c r="X71" s="73">
        <f t="array" ref="X71">IF($C71="","",IFERROR(IF(INDEX('05_Theo_Doi_Gio_Cong_7_Ngay'!$P:$P,MATCH($C71,'05_Theo_Doi_Gio_Cong_7_Ngay'!$B:$B,0))=0,"",INDEX('05_Theo_Doi_Gio_Cong_7_Ngay'!$P:$P,MATCH($C71,'05_Theo_Doi_Gio_Cong_7_Ngay'!$B:$B,0))),""))</f>
      </c>
      <c r="Y71" s="60">
        <f t="array" ref="Y71">IF($C71="","",IFERROR(IF(INDEX('05_Theo_Doi_Gio_Cong_7_Ngay'!$M:$M,MATCH($C71,'05_Theo_Doi_Gio_Cong_7_Ngay'!$B:$B,0))=0,"",INDEX('05_Theo_Doi_Gio_Cong_7_Ngay'!$M:$M,MATCH($C71,'05_Theo_Doi_Gio_Cong_7_Ngay'!$B:$B,0))),""))</f>
      </c>
      <c r="Z71" s="60">
        <f t="array" ref="Z71">IF($C71="","",IFERROR(IF(INDEX('05_Theo_Doi_Gio_Cong_7_Ngay'!$Q:$Q,MATCH($C71,'05_Theo_Doi_Gio_Cong_7_Ngay'!$B:$B,0))=0,"",INDEX('05_Theo_Doi_Gio_Cong_7_Ngay'!$Q:$Q,MATCH($C71,'05_Theo_Doi_Gio_Cong_7_Ngay'!$B:$B,0))),""))</f>
      </c>
      <c r="AA71" s="60">
        <f t="array" ref="AA71">IF($B71="","",IFERROR(IF(INDEX('02_DS_Nhan_Viec'!$H:$H,MATCH($B71,'02_DS_Nhan_Viec'!$B:$B,0))=0,"",INDEX('02_DS_Nhan_Viec'!$H:$H,MATCH($B71,'02_DS_Nhan_Viec'!$B:$B,0))),""))</f>
      </c>
      <c r="AB71" s="60">
        <f t="array" ref="AB71">IF($B71="","",IFERROR(IF(INDEX('02_DS_Nhan_Viec'!$I:$I,MATCH($B71,'02_DS_Nhan_Viec'!$B:$B,0))=0,"",INDEX('02_DS_Nhan_Viec'!$I:$I,MATCH($B71,'02_DS_Nhan_Viec'!$B:$B,0))),""))</f>
      </c>
      <c r="AC71" s="61">
        <f t="array" ref="AC71">IF($B71="","",IF($C71="","Đang theo dõi",IF(OR(IFERROR(INDEX('05_Theo_Doi_Gio_Cong_7_Ngay'!$R:$R,MATCH($C71,'05_Theo_Doi_Gio_Cong_7_Ngay'!$B:$B,0)),"")="",IFERROR(INDEX('05_Theo_Doi_Gio_Cong_7_Ngay'!$R:$R,MATCH($C71,'05_Theo_Doi_Gio_Cong_7_Ngay'!$B:$B,0)),0)=0),"Đang theo dõi",IFERROR(INDEX('06_DS_Chinh_Thuc'!$K:$K,MATCH(IFERROR(INDEX('05_Theo_Doi_Gio_Cong_7_Ngay'!$R:$R,MATCH($C71,'05_Theo_Doi_Gio_Cong_7_Ngay'!$B:$B,0)),0),'06_DS_Chinh_Thuc'!$B:$B,0)),"Đang theo dõi"))))</f>
      </c>
    </row>
    <row r="72" ht="14.25" customHeight="1" spans="1:29" x14ac:dyDescent="0.25">
      <c r="A72" s="52">
        <f t="shared" si="0"/>
      </c>
      <c r="B72" s="52">
        <f t="array" ref="B72">IFERROR(INDEX('02_DS_Nhan_Viec'!$B:$B,MATCH(71,'02_DS_Nhan_Viec'!$M:$M,0)),"")</f>
      </c>
      <c r="C72" s="52">
        <f t="array" ref="C72">IF($B72="","",IFERROR(IF(INDEX('02_DS_Nhan_Viec'!$J:$J,MATCH($B72,'02_DS_Nhan_Viec'!$B:$B,0))=0,"",INDEX('02_DS_Nhan_Viec'!$J:$J,MATCH($B72,'02_DS_Nhan_Viec'!$B:$B,0))),""))</f>
      </c>
      <c r="D72" s="52">
        <f t="array" ref="D72">IF($C72="","",IFERROR(IF(INDEX('05_Theo_Doi_Gio_Cong_7_Ngay'!$R:$R,MATCH($C72,'05_Theo_Doi_Gio_Cong_7_Ngay'!$B:$B,0))=0,"",INDEX('05_Theo_Doi_Gio_Cong_7_Ngay'!$R:$R,MATCH($C72,'05_Theo_Doi_Gio_Cong_7_Ngay'!$B:$B,0))),""))</f>
      </c>
      <c r="E72" s="60">
        <f t="array" ref="E72">IF($B72="","",IFERROR(IF(INDEX('01_UngVien_PhongVan'!$D:$D,MATCH($B72,'01_UngVien_PhongVan'!$B:$B,0))=0,"",INDEX('01_UngVien_PhongVan'!$D:$D,MATCH($B72,'01_UngVien_PhongVan'!$B:$B,0))),""))</f>
      </c>
      <c r="F72" s="52">
        <f t="array" ref="F72">IF($B72="","",IFERROR(IF(INDEX('01_UngVien_PhongVan'!$F:$F,MATCH($B72,'01_UngVien_PhongVan'!$B:$B,0))=0,"",INDEX('01_UngVien_PhongVan'!$F:$F,MATCH($B72,'01_UngVien_PhongVan'!$B:$B,0))),""))</f>
      </c>
      <c r="G72" s="72">
        <f t="array" ref="G72">IF($B72="","",IFERROR(IF(INDEX('01_UngVien_PhongVan'!$G:$G,MATCH($B72,'01_UngVien_PhongVan'!$B:$B,0))=0,"",INDEX('01_UngVien_PhongVan'!$G:$G,MATCH($B72,'01_UngVien_PhongVan'!$B:$B,0))),""))</f>
      </c>
      <c r="H72" s="52">
        <f t="array" ref="H72">IF($B72="","",IFERROR(IF(INDEX('01_UngVien_PhongVan'!$H:$H,MATCH($B72,'01_UngVien_PhongVan'!$B:$B,0))=0,"",INDEX('01_UngVien_PhongVan'!$H:$H,MATCH($B72,'01_UngVien_PhongVan'!$B:$B,0))),""))</f>
      </c>
      <c r="I72" s="60">
        <f t="array" ref="I72">IF($B72="","",IFERROR(IF(INDEX('01_UngVien_PhongVan'!$I:$I,MATCH($B72,'01_UngVien_PhongVan'!$B:$B,0))=0,"",INDEX('01_UngVien_PhongVan'!$I:$I,MATCH($B72,'01_UngVien_PhongVan'!$B:$B,0))),""))</f>
      </c>
      <c r="J72" s="60">
        <f t="array" ref="J72">IF($B72="","",IFERROR(IF(INDEX('01_UngVien_PhongVan'!$J:$J,MATCH($B72,'01_UngVien_PhongVan'!$B:$B,0))=0,"",INDEX('01_UngVien_PhongVan'!$J:$J,MATCH($B72,'01_UngVien_PhongVan'!$B:$B,0))),""))</f>
      </c>
      <c r="K72" s="73">
        <f t="array" ref="K72">IF($B72="","",IFERROR(IF(INDEX('01_UngVien_PhongVan'!$K:$K,MATCH($B72,'01_UngVien_PhongVan'!$B:$B,0))=0,"",INDEX('01_UngVien_PhongVan'!$K:$K,MATCH($B72,'01_UngVien_PhongVan'!$B:$B,0))),""))</f>
      </c>
      <c r="L72" s="60">
        <f t="array" ref="L72">IF($B72="","",IFERROR(IF(INDEX('01_UngVien_PhongVan'!$L:$L,MATCH($B72,'01_UngVien_PhongVan'!$B:$B,0))=0,"",INDEX('01_UngVien_PhongVan'!$L:$L,MATCH($B72,'01_UngVien_PhongVan'!$B:$B,0))),""))</f>
      </c>
      <c r="M72" s="60">
        <f t="array" ref="M72">IF($B72="","",IFERROR(IF(INDEX('01_UngVien_PhongVan'!$E:$E,MATCH($B72,'01_UngVien_PhongVan'!$B:$B,0))=0,"",INDEX('01_UngVien_PhongVan'!$E:$E,MATCH($B72,'01_UngVien_PhongVan'!$B:$B,0))),""))</f>
      </c>
      <c r="N72" s="60">
        <f t="array" ref="N72">IF($B72="","",IFERROR(IF(INDEX('01_UngVien_PhongVan'!$M:$M,MATCH($B72,'01_UngVien_PhongVan'!$B:$B,0))=0,"",INDEX('01_UngVien_PhongVan'!$M:$M,MATCH($B72,'01_UngVien_PhongVan'!$B:$B,0))),""))</f>
      </c>
      <c r="O72" s="60">
        <f t="array" ref="O72">IF($B72="","",IFERROR(IF(INDEX('01_UngVien_PhongVan'!$N:$N,MATCH($B72,'01_UngVien_PhongVan'!$B:$B,0))=0,"",INDEX('01_UngVien_PhongVan'!$N:$N,MATCH($B72,'01_UngVien_PhongVan'!$B:$B,0))),""))</f>
      </c>
      <c r="P72" s="60">
        <f t="array" ref="P72">IF($B72="","",IFERROR(IF(INDEX('01_UngVien_PhongVan'!$O:$O,MATCH($B72,'01_UngVien_PhongVan'!$B:$B,0))=0,"",INDEX('01_UngVien_PhongVan'!$O:$O,MATCH($B72,'01_UngVien_PhongVan'!$B:$B,0))),""))</f>
      </c>
      <c r="Q72" s="60">
        <f t="array" ref="Q72">IF($B72="","",IFERROR(IF(INDEX('01_UngVien_PhongVan'!$P:$P,MATCH($B72,'01_UngVien_PhongVan'!$B:$B,0))=0,"",INDEX('01_UngVien_PhongVan'!$P:$P,MATCH($B72,'01_UngVien_PhongVan'!$B:$B,0))),""))</f>
      </c>
      <c r="R72" s="60">
        <f t="array" ref="R72">IF($B72="","",IFERROR(IF(INDEX('01_UngVien_PhongVan'!$Q:$Q,MATCH($B72,'01_UngVien_PhongVan'!$B:$B,0))=0,"",INDEX('01_UngVien_PhongVan'!$Q:$Q,MATCH($B72,'01_UngVien_PhongVan'!$B:$B,0))),""))</f>
      </c>
      <c r="S72" s="60">
        <f t="array" ref="S72">IF($B72="","",IFERROR(IF(INDEX('01_UngVien_PhongVan'!$R:$R,MATCH($B72,'01_UngVien_PhongVan'!$B:$B,0))=0,"",INDEX('01_UngVien_PhongVan'!$R:$R,MATCH($B72,'01_UngVien_PhongVan'!$B:$B,0))),""))</f>
      </c>
      <c r="T72" s="60">
        <f t="array" ref="T72">IF($B72="","",IFERROR(IF(INDEX('01_UngVien_PhongVan'!$U:$U,MATCH($B72,'01_UngVien_PhongVan'!$B:$B,0))=0,"",INDEX('01_UngVien_PhongVan'!$U:$U,MATCH($B72,'01_UngVien_PhongVan'!$B:$B,0))),""))</f>
      </c>
      <c r="U72" s="73">
        <f t="array" ref="U72">IF($B72="","",IFERROR(IF(INDEX('01_UngVien_PhongVan'!$C:$C,MATCH($B72,'01_UngVien_PhongVan'!$B:$B,0))=0,"",INDEX('01_UngVien_PhongVan'!$C:$C,MATCH($B72,'01_UngVien_PhongVan'!$B:$B,0))),""))</f>
      </c>
      <c r="V72" s="73">
        <f t="array" ref="V72">IF($B72="","",IFERROR(IF(INDEX('02_DS_Nhan_Viec'!$D:$D,MATCH($B72,'02_DS_Nhan_Viec'!$B:$B,0))=0,"",INDEX('02_DS_Nhan_Viec'!$D:$D,MATCH($B72,'02_DS_Nhan_Viec'!$B:$B,0))),""))</f>
      </c>
      <c r="W72" s="73">
        <f t="array" ref="W72">IF($B72="","",IFERROR(IF(INDEX('02_DS_Nhan_Viec'!$E:$E,MATCH($B72,'02_DS_Nhan_Viec'!$B:$B,0))=0,"",INDEX('02_DS_Nhan_Viec'!$E:$E,MATCH($B72,'02_DS_Nhan_Viec'!$B:$B,0))),""))</f>
      </c>
      <c r="X72" s="73">
        <f t="array" ref="X72">IF($C72="","",IFERROR(IF(INDEX('05_Theo_Doi_Gio_Cong_7_Ngay'!$P:$P,MATCH($C72,'05_Theo_Doi_Gio_Cong_7_Ngay'!$B:$B,0))=0,"",INDEX('05_Theo_Doi_Gio_Cong_7_Ngay'!$P:$P,MATCH($C72,'05_Theo_Doi_Gio_Cong_7_Ngay'!$B:$B,0))),""))</f>
      </c>
      <c r="Y72" s="60">
        <f t="array" ref="Y72">IF($C72="","",IFERROR(IF(INDEX('05_Theo_Doi_Gio_Cong_7_Ngay'!$M:$M,MATCH($C72,'05_Theo_Doi_Gio_Cong_7_Ngay'!$B:$B,0))=0,"",INDEX('05_Theo_Doi_Gio_Cong_7_Ngay'!$M:$M,MATCH($C72,'05_Theo_Doi_Gio_Cong_7_Ngay'!$B:$B,0))),""))</f>
      </c>
      <c r="Z72" s="60">
        <f t="array" ref="Z72">IF($C72="","",IFERROR(IF(INDEX('05_Theo_Doi_Gio_Cong_7_Ngay'!$Q:$Q,MATCH($C72,'05_Theo_Doi_Gio_Cong_7_Ngay'!$B:$B,0))=0,"",INDEX('05_Theo_Doi_Gio_Cong_7_Ngay'!$Q:$Q,MATCH($C72,'05_Theo_Doi_Gio_Cong_7_Ngay'!$B:$B,0))),""))</f>
      </c>
      <c r="AA72" s="60">
        <f t="array" ref="AA72">IF($B72="","",IFERROR(IF(INDEX('02_DS_Nhan_Viec'!$H:$H,MATCH($B72,'02_DS_Nhan_Viec'!$B:$B,0))=0,"",INDEX('02_DS_Nhan_Viec'!$H:$H,MATCH($B72,'02_DS_Nhan_Viec'!$B:$B,0))),""))</f>
      </c>
      <c r="AB72" s="60">
        <f t="array" ref="AB72">IF($B72="","",IFERROR(IF(INDEX('02_DS_Nhan_Viec'!$I:$I,MATCH($B72,'02_DS_Nhan_Viec'!$B:$B,0))=0,"",INDEX('02_DS_Nhan_Viec'!$I:$I,MATCH($B72,'02_DS_Nhan_Viec'!$B:$B,0))),""))</f>
      </c>
      <c r="AC72" s="61">
        <f t="array" ref="AC72">IF($B72="","",IF($C72="","Đang theo dõi",IF(OR(IFERROR(INDEX('05_Theo_Doi_Gio_Cong_7_Ngay'!$R:$R,MATCH($C72,'05_Theo_Doi_Gio_Cong_7_Ngay'!$B:$B,0)),"")="",IFERROR(INDEX('05_Theo_Doi_Gio_Cong_7_Ngay'!$R:$R,MATCH($C72,'05_Theo_Doi_Gio_Cong_7_Ngay'!$B:$B,0)),0)=0),"Đang theo dõi",IFERROR(INDEX('06_DS_Chinh_Thuc'!$K:$K,MATCH(IFERROR(INDEX('05_Theo_Doi_Gio_Cong_7_Ngay'!$R:$R,MATCH($C72,'05_Theo_Doi_Gio_Cong_7_Ngay'!$B:$B,0)),0),'06_DS_Chinh_Thuc'!$B:$B,0)),"Đang theo dõi"))))</f>
      </c>
    </row>
    <row r="73" ht="14.25" customHeight="1" spans="1:29" x14ac:dyDescent="0.25">
      <c r="A73" s="52">
        <f t="shared" si="0"/>
      </c>
      <c r="B73" s="52">
        <f t="array" ref="B73">IFERROR(INDEX('02_DS_Nhan_Viec'!$B:$B,MATCH(72,'02_DS_Nhan_Viec'!$M:$M,0)),"")</f>
      </c>
      <c r="C73" s="52">
        <f t="array" ref="C73">IF($B73="","",IFERROR(IF(INDEX('02_DS_Nhan_Viec'!$J:$J,MATCH($B73,'02_DS_Nhan_Viec'!$B:$B,0))=0,"",INDEX('02_DS_Nhan_Viec'!$J:$J,MATCH($B73,'02_DS_Nhan_Viec'!$B:$B,0))),""))</f>
      </c>
      <c r="D73" s="52">
        <f t="array" ref="D73">IF($C73="","",IFERROR(IF(INDEX('05_Theo_Doi_Gio_Cong_7_Ngay'!$R:$R,MATCH($C73,'05_Theo_Doi_Gio_Cong_7_Ngay'!$B:$B,0))=0,"",INDEX('05_Theo_Doi_Gio_Cong_7_Ngay'!$R:$R,MATCH($C73,'05_Theo_Doi_Gio_Cong_7_Ngay'!$B:$B,0))),""))</f>
      </c>
      <c r="E73" s="60">
        <f t="array" ref="E73">IF($B73="","",IFERROR(IF(INDEX('01_UngVien_PhongVan'!$D:$D,MATCH($B73,'01_UngVien_PhongVan'!$B:$B,0))=0,"",INDEX('01_UngVien_PhongVan'!$D:$D,MATCH($B73,'01_UngVien_PhongVan'!$B:$B,0))),""))</f>
      </c>
      <c r="F73" s="52">
        <f t="array" ref="F73">IF($B73="","",IFERROR(IF(INDEX('01_UngVien_PhongVan'!$F:$F,MATCH($B73,'01_UngVien_PhongVan'!$B:$B,0))=0,"",INDEX('01_UngVien_PhongVan'!$F:$F,MATCH($B73,'01_UngVien_PhongVan'!$B:$B,0))),""))</f>
      </c>
      <c r="G73" s="72">
        <f t="array" ref="G73">IF($B73="","",IFERROR(IF(INDEX('01_UngVien_PhongVan'!$G:$G,MATCH($B73,'01_UngVien_PhongVan'!$B:$B,0))=0,"",INDEX('01_UngVien_PhongVan'!$G:$G,MATCH($B73,'01_UngVien_PhongVan'!$B:$B,0))),""))</f>
      </c>
      <c r="H73" s="52">
        <f t="array" ref="H73">IF($B73="","",IFERROR(IF(INDEX('01_UngVien_PhongVan'!$H:$H,MATCH($B73,'01_UngVien_PhongVan'!$B:$B,0))=0,"",INDEX('01_UngVien_PhongVan'!$H:$H,MATCH($B73,'01_UngVien_PhongVan'!$B:$B,0))),""))</f>
      </c>
      <c r="I73" s="60">
        <f t="array" ref="I73">IF($B73="","",IFERROR(IF(INDEX('01_UngVien_PhongVan'!$I:$I,MATCH($B73,'01_UngVien_PhongVan'!$B:$B,0))=0,"",INDEX('01_UngVien_PhongVan'!$I:$I,MATCH($B73,'01_UngVien_PhongVan'!$B:$B,0))),""))</f>
      </c>
      <c r="J73" s="60">
        <f t="array" ref="J73">IF($B73="","",IFERROR(IF(INDEX('01_UngVien_PhongVan'!$J:$J,MATCH($B73,'01_UngVien_PhongVan'!$B:$B,0))=0,"",INDEX('01_UngVien_PhongVan'!$J:$J,MATCH($B73,'01_UngVien_PhongVan'!$B:$B,0))),""))</f>
      </c>
      <c r="K73" s="73">
        <f t="array" ref="K73">IF($B73="","",IFERROR(IF(INDEX('01_UngVien_PhongVan'!$K:$K,MATCH($B73,'01_UngVien_PhongVan'!$B:$B,0))=0,"",INDEX('01_UngVien_PhongVan'!$K:$K,MATCH($B73,'01_UngVien_PhongVan'!$B:$B,0))),""))</f>
      </c>
      <c r="L73" s="60">
        <f t="array" ref="L73">IF($B73="","",IFERROR(IF(INDEX('01_UngVien_PhongVan'!$L:$L,MATCH($B73,'01_UngVien_PhongVan'!$B:$B,0))=0,"",INDEX('01_UngVien_PhongVan'!$L:$L,MATCH($B73,'01_UngVien_PhongVan'!$B:$B,0))),""))</f>
      </c>
      <c r="M73" s="60">
        <f t="array" ref="M73">IF($B73="","",IFERROR(IF(INDEX('01_UngVien_PhongVan'!$E:$E,MATCH($B73,'01_UngVien_PhongVan'!$B:$B,0))=0,"",INDEX('01_UngVien_PhongVan'!$E:$E,MATCH($B73,'01_UngVien_PhongVan'!$B:$B,0))),""))</f>
      </c>
      <c r="N73" s="60">
        <f t="array" ref="N73">IF($B73="","",IFERROR(IF(INDEX('01_UngVien_PhongVan'!$M:$M,MATCH($B73,'01_UngVien_PhongVan'!$B:$B,0))=0,"",INDEX('01_UngVien_PhongVan'!$M:$M,MATCH($B73,'01_UngVien_PhongVan'!$B:$B,0))),""))</f>
      </c>
      <c r="O73" s="60">
        <f t="array" ref="O73">IF($B73="","",IFERROR(IF(INDEX('01_UngVien_PhongVan'!$N:$N,MATCH($B73,'01_UngVien_PhongVan'!$B:$B,0))=0,"",INDEX('01_UngVien_PhongVan'!$N:$N,MATCH($B73,'01_UngVien_PhongVan'!$B:$B,0))),""))</f>
      </c>
      <c r="P73" s="60">
        <f t="array" ref="P73">IF($B73="","",IFERROR(IF(INDEX('01_UngVien_PhongVan'!$O:$O,MATCH($B73,'01_UngVien_PhongVan'!$B:$B,0))=0,"",INDEX('01_UngVien_PhongVan'!$O:$O,MATCH($B73,'01_UngVien_PhongVan'!$B:$B,0))),""))</f>
      </c>
      <c r="Q73" s="60">
        <f t="array" ref="Q73">IF($B73="","",IFERROR(IF(INDEX('01_UngVien_PhongVan'!$P:$P,MATCH($B73,'01_UngVien_PhongVan'!$B:$B,0))=0,"",INDEX('01_UngVien_PhongVan'!$P:$P,MATCH($B73,'01_UngVien_PhongVan'!$B:$B,0))),""))</f>
      </c>
      <c r="R73" s="60">
        <f t="array" ref="R73">IF($B73="","",IFERROR(IF(INDEX('01_UngVien_PhongVan'!$Q:$Q,MATCH($B73,'01_UngVien_PhongVan'!$B:$B,0))=0,"",INDEX('01_UngVien_PhongVan'!$Q:$Q,MATCH($B73,'01_UngVien_PhongVan'!$B:$B,0))),""))</f>
      </c>
      <c r="S73" s="60">
        <f t="array" ref="S73">IF($B73="","",IFERROR(IF(INDEX('01_UngVien_PhongVan'!$R:$R,MATCH($B73,'01_UngVien_PhongVan'!$B:$B,0))=0,"",INDEX('01_UngVien_PhongVan'!$R:$R,MATCH($B73,'01_UngVien_PhongVan'!$B:$B,0))),""))</f>
      </c>
      <c r="T73" s="60">
        <f t="array" ref="T73">IF($B73="","",IFERROR(IF(INDEX('01_UngVien_PhongVan'!$U:$U,MATCH($B73,'01_UngVien_PhongVan'!$B:$B,0))=0,"",INDEX('01_UngVien_PhongVan'!$U:$U,MATCH($B73,'01_UngVien_PhongVan'!$B:$B,0))),""))</f>
      </c>
      <c r="U73" s="73">
        <f t="array" ref="U73">IF($B73="","",IFERROR(IF(INDEX('01_UngVien_PhongVan'!$C:$C,MATCH($B73,'01_UngVien_PhongVan'!$B:$B,0))=0,"",INDEX('01_UngVien_PhongVan'!$C:$C,MATCH($B73,'01_UngVien_PhongVan'!$B:$B,0))),""))</f>
      </c>
      <c r="V73" s="73">
        <f t="array" ref="V73">IF($B73="","",IFERROR(IF(INDEX('02_DS_Nhan_Viec'!$D:$D,MATCH($B73,'02_DS_Nhan_Viec'!$B:$B,0))=0,"",INDEX('02_DS_Nhan_Viec'!$D:$D,MATCH($B73,'02_DS_Nhan_Viec'!$B:$B,0))),""))</f>
      </c>
      <c r="W73" s="73">
        <f t="array" ref="W73">IF($B73="","",IFERROR(IF(INDEX('02_DS_Nhan_Viec'!$E:$E,MATCH($B73,'02_DS_Nhan_Viec'!$B:$B,0))=0,"",INDEX('02_DS_Nhan_Viec'!$E:$E,MATCH($B73,'02_DS_Nhan_Viec'!$B:$B,0))),""))</f>
      </c>
      <c r="X73" s="73">
        <f t="array" ref="X73">IF($C73="","",IFERROR(IF(INDEX('05_Theo_Doi_Gio_Cong_7_Ngay'!$P:$P,MATCH($C73,'05_Theo_Doi_Gio_Cong_7_Ngay'!$B:$B,0))=0,"",INDEX('05_Theo_Doi_Gio_Cong_7_Ngay'!$P:$P,MATCH($C73,'05_Theo_Doi_Gio_Cong_7_Ngay'!$B:$B,0))),""))</f>
      </c>
      <c r="Y73" s="60">
        <f t="array" ref="Y73">IF($C73="","",IFERROR(IF(INDEX('05_Theo_Doi_Gio_Cong_7_Ngay'!$M:$M,MATCH($C73,'05_Theo_Doi_Gio_Cong_7_Ngay'!$B:$B,0))=0,"",INDEX('05_Theo_Doi_Gio_Cong_7_Ngay'!$M:$M,MATCH($C73,'05_Theo_Doi_Gio_Cong_7_Ngay'!$B:$B,0))),""))</f>
      </c>
      <c r="Z73" s="60">
        <f t="array" ref="Z73">IF($C73="","",IFERROR(IF(INDEX('05_Theo_Doi_Gio_Cong_7_Ngay'!$Q:$Q,MATCH($C73,'05_Theo_Doi_Gio_Cong_7_Ngay'!$B:$B,0))=0,"",INDEX('05_Theo_Doi_Gio_Cong_7_Ngay'!$Q:$Q,MATCH($C73,'05_Theo_Doi_Gio_Cong_7_Ngay'!$B:$B,0))),""))</f>
      </c>
      <c r="AA73" s="60">
        <f t="array" ref="AA73">IF($B73="","",IFERROR(IF(INDEX('02_DS_Nhan_Viec'!$H:$H,MATCH($B73,'02_DS_Nhan_Viec'!$B:$B,0))=0,"",INDEX('02_DS_Nhan_Viec'!$H:$H,MATCH($B73,'02_DS_Nhan_Viec'!$B:$B,0))),""))</f>
      </c>
      <c r="AB73" s="60">
        <f t="array" ref="AB73">IF($B73="","",IFERROR(IF(INDEX('02_DS_Nhan_Viec'!$I:$I,MATCH($B73,'02_DS_Nhan_Viec'!$B:$B,0))=0,"",INDEX('02_DS_Nhan_Viec'!$I:$I,MATCH($B73,'02_DS_Nhan_Viec'!$B:$B,0))),""))</f>
      </c>
      <c r="AC73" s="61">
        <f t="array" ref="AC73">IF($B73="","",IF($C73="","Đang theo dõi",IF(OR(IFERROR(INDEX('05_Theo_Doi_Gio_Cong_7_Ngay'!$R:$R,MATCH($C73,'05_Theo_Doi_Gio_Cong_7_Ngay'!$B:$B,0)),"")="",IFERROR(INDEX('05_Theo_Doi_Gio_Cong_7_Ngay'!$R:$R,MATCH($C73,'05_Theo_Doi_Gio_Cong_7_Ngay'!$B:$B,0)),0)=0),"Đang theo dõi",IFERROR(INDEX('06_DS_Chinh_Thuc'!$K:$K,MATCH(IFERROR(INDEX('05_Theo_Doi_Gio_Cong_7_Ngay'!$R:$R,MATCH($C73,'05_Theo_Doi_Gio_Cong_7_Ngay'!$B:$B,0)),0),'06_DS_Chinh_Thuc'!$B:$B,0)),"Đang theo dõi"))))</f>
      </c>
    </row>
    <row r="74" ht="14.25" customHeight="1" spans="1:29" x14ac:dyDescent="0.25">
      <c r="A74" s="52">
        <f t="shared" si="0"/>
      </c>
      <c r="B74" s="52">
        <f t="array" ref="B74">IFERROR(INDEX('02_DS_Nhan_Viec'!$B:$B,MATCH(73,'02_DS_Nhan_Viec'!$M:$M,0)),"")</f>
      </c>
      <c r="C74" s="52">
        <f t="array" ref="C74">IF($B74="","",IFERROR(IF(INDEX('02_DS_Nhan_Viec'!$J:$J,MATCH($B74,'02_DS_Nhan_Viec'!$B:$B,0))=0,"",INDEX('02_DS_Nhan_Viec'!$J:$J,MATCH($B74,'02_DS_Nhan_Viec'!$B:$B,0))),""))</f>
      </c>
      <c r="D74" s="52">
        <f t="array" ref="D74">IF($C74="","",IFERROR(IF(INDEX('05_Theo_Doi_Gio_Cong_7_Ngay'!$R:$R,MATCH($C74,'05_Theo_Doi_Gio_Cong_7_Ngay'!$B:$B,0))=0,"",INDEX('05_Theo_Doi_Gio_Cong_7_Ngay'!$R:$R,MATCH($C74,'05_Theo_Doi_Gio_Cong_7_Ngay'!$B:$B,0))),""))</f>
      </c>
      <c r="E74" s="60">
        <f t="array" ref="E74">IF($B74="","",IFERROR(IF(INDEX('01_UngVien_PhongVan'!$D:$D,MATCH($B74,'01_UngVien_PhongVan'!$B:$B,0))=0,"",INDEX('01_UngVien_PhongVan'!$D:$D,MATCH($B74,'01_UngVien_PhongVan'!$B:$B,0))),""))</f>
      </c>
      <c r="F74" s="52">
        <f t="array" ref="F74">IF($B74="","",IFERROR(IF(INDEX('01_UngVien_PhongVan'!$F:$F,MATCH($B74,'01_UngVien_PhongVan'!$B:$B,0))=0,"",INDEX('01_UngVien_PhongVan'!$F:$F,MATCH($B74,'01_UngVien_PhongVan'!$B:$B,0))),""))</f>
      </c>
      <c r="G74" s="72">
        <f t="array" ref="G74">IF($B74="","",IFERROR(IF(INDEX('01_UngVien_PhongVan'!$G:$G,MATCH($B74,'01_UngVien_PhongVan'!$B:$B,0))=0,"",INDEX('01_UngVien_PhongVan'!$G:$G,MATCH($B74,'01_UngVien_PhongVan'!$B:$B,0))),""))</f>
      </c>
      <c r="H74" s="52">
        <f t="array" ref="H74">IF($B74="","",IFERROR(IF(INDEX('01_UngVien_PhongVan'!$H:$H,MATCH($B74,'01_UngVien_PhongVan'!$B:$B,0))=0,"",INDEX('01_UngVien_PhongVan'!$H:$H,MATCH($B74,'01_UngVien_PhongVan'!$B:$B,0))),""))</f>
      </c>
      <c r="I74" s="60">
        <f t="array" ref="I74">IF($B74="","",IFERROR(IF(INDEX('01_UngVien_PhongVan'!$I:$I,MATCH($B74,'01_UngVien_PhongVan'!$B:$B,0))=0,"",INDEX('01_UngVien_PhongVan'!$I:$I,MATCH($B74,'01_UngVien_PhongVan'!$B:$B,0))),""))</f>
      </c>
      <c r="J74" s="60">
        <f t="array" ref="J74">IF($B74="","",IFERROR(IF(INDEX('01_UngVien_PhongVan'!$J:$J,MATCH($B74,'01_UngVien_PhongVan'!$B:$B,0))=0,"",INDEX('01_UngVien_PhongVan'!$J:$J,MATCH($B74,'01_UngVien_PhongVan'!$B:$B,0))),""))</f>
      </c>
      <c r="K74" s="73">
        <f t="array" ref="K74">IF($B74="","",IFERROR(IF(INDEX('01_UngVien_PhongVan'!$K:$K,MATCH($B74,'01_UngVien_PhongVan'!$B:$B,0))=0,"",INDEX('01_UngVien_PhongVan'!$K:$K,MATCH($B74,'01_UngVien_PhongVan'!$B:$B,0))),""))</f>
      </c>
      <c r="L74" s="60">
        <f t="array" ref="L74">IF($B74="","",IFERROR(IF(INDEX('01_UngVien_PhongVan'!$L:$L,MATCH($B74,'01_UngVien_PhongVan'!$B:$B,0))=0,"",INDEX('01_UngVien_PhongVan'!$L:$L,MATCH($B74,'01_UngVien_PhongVan'!$B:$B,0))),""))</f>
      </c>
      <c r="M74" s="60">
        <f t="array" ref="M74">IF($B74="","",IFERROR(IF(INDEX('01_UngVien_PhongVan'!$E:$E,MATCH($B74,'01_UngVien_PhongVan'!$B:$B,0))=0,"",INDEX('01_UngVien_PhongVan'!$E:$E,MATCH($B74,'01_UngVien_PhongVan'!$B:$B,0))),""))</f>
      </c>
      <c r="N74" s="60">
        <f t="array" ref="N74">IF($B74="","",IFERROR(IF(INDEX('01_UngVien_PhongVan'!$M:$M,MATCH($B74,'01_UngVien_PhongVan'!$B:$B,0))=0,"",INDEX('01_UngVien_PhongVan'!$M:$M,MATCH($B74,'01_UngVien_PhongVan'!$B:$B,0))),""))</f>
      </c>
      <c r="O74" s="60">
        <f t="array" ref="O74">IF($B74="","",IFERROR(IF(INDEX('01_UngVien_PhongVan'!$N:$N,MATCH($B74,'01_UngVien_PhongVan'!$B:$B,0))=0,"",INDEX('01_UngVien_PhongVan'!$N:$N,MATCH($B74,'01_UngVien_PhongVan'!$B:$B,0))),""))</f>
      </c>
      <c r="P74" s="60">
        <f t="array" ref="P74">IF($B74="","",IFERROR(IF(INDEX('01_UngVien_PhongVan'!$O:$O,MATCH($B74,'01_UngVien_PhongVan'!$B:$B,0))=0,"",INDEX('01_UngVien_PhongVan'!$O:$O,MATCH($B74,'01_UngVien_PhongVan'!$B:$B,0))),""))</f>
      </c>
      <c r="Q74" s="60">
        <f t="array" ref="Q74">IF($B74="","",IFERROR(IF(INDEX('01_UngVien_PhongVan'!$P:$P,MATCH($B74,'01_UngVien_PhongVan'!$B:$B,0))=0,"",INDEX('01_UngVien_PhongVan'!$P:$P,MATCH($B74,'01_UngVien_PhongVan'!$B:$B,0))),""))</f>
      </c>
      <c r="R74" s="60">
        <f t="array" ref="R74">IF($B74="","",IFERROR(IF(INDEX('01_UngVien_PhongVan'!$Q:$Q,MATCH($B74,'01_UngVien_PhongVan'!$B:$B,0))=0,"",INDEX('01_UngVien_PhongVan'!$Q:$Q,MATCH($B74,'01_UngVien_PhongVan'!$B:$B,0))),""))</f>
      </c>
      <c r="S74" s="60">
        <f t="array" ref="S74">IF($B74="","",IFERROR(IF(INDEX('01_UngVien_PhongVan'!$R:$R,MATCH($B74,'01_UngVien_PhongVan'!$B:$B,0))=0,"",INDEX('01_UngVien_PhongVan'!$R:$R,MATCH($B74,'01_UngVien_PhongVan'!$B:$B,0))),""))</f>
      </c>
      <c r="T74" s="60">
        <f t="array" ref="T74">IF($B74="","",IFERROR(IF(INDEX('01_UngVien_PhongVan'!$U:$U,MATCH($B74,'01_UngVien_PhongVan'!$B:$B,0))=0,"",INDEX('01_UngVien_PhongVan'!$U:$U,MATCH($B74,'01_UngVien_PhongVan'!$B:$B,0))),""))</f>
      </c>
      <c r="U74" s="73">
        <f t="array" ref="U74">IF($B74="","",IFERROR(IF(INDEX('01_UngVien_PhongVan'!$C:$C,MATCH($B74,'01_UngVien_PhongVan'!$B:$B,0))=0,"",INDEX('01_UngVien_PhongVan'!$C:$C,MATCH($B74,'01_UngVien_PhongVan'!$B:$B,0))),""))</f>
      </c>
      <c r="V74" s="73">
        <f t="array" ref="V74">IF($B74="","",IFERROR(IF(INDEX('02_DS_Nhan_Viec'!$D:$D,MATCH($B74,'02_DS_Nhan_Viec'!$B:$B,0))=0,"",INDEX('02_DS_Nhan_Viec'!$D:$D,MATCH($B74,'02_DS_Nhan_Viec'!$B:$B,0))),""))</f>
      </c>
      <c r="W74" s="73">
        <f t="array" ref="W74">IF($B74="","",IFERROR(IF(INDEX('02_DS_Nhan_Viec'!$E:$E,MATCH($B74,'02_DS_Nhan_Viec'!$B:$B,0))=0,"",INDEX('02_DS_Nhan_Viec'!$E:$E,MATCH($B74,'02_DS_Nhan_Viec'!$B:$B,0))),""))</f>
      </c>
      <c r="X74" s="73">
        <f t="array" ref="X74">IF($C74="","",IFERROR(IF(INDEX('05_Theo_Doi_Gio_Cong_7_Ngay'!$P:$P,MATCH($C74,'05_Theo_Doi_Gio_Cong_7_Ngay'!$B:$B,0))=0,"",INDEX('05_Theo_Doi_Gio_Cong_7_Ngay'!$P:$P,MATCH($C74,'05_Theo_Doi_Gio_Cong_7_Ngay'!$B:$B,0))),""))</f>
      </c>
      <c r="Y74" s="60">
        <f t="array" ref="Y74">IF($C74="","",IFERROR(IF(INDEX('05_Theo_Doi_Gio_Cong_7_Ngay'!$M:$M,MATCH($C74,'05_Theo_Doi_Gio_Cong_7_Ngay'!$B:$B,0))=0,"",INDEX('05_Theo_Doi_Gio_Cong_7_Ngay'!$M:$M,MATCH($C74,'05_Theo_Doi_Gio_Cong_7_Ngay'!$B:$B,0))),""))</f>
      </c>
      <c r="Z74" s="60">
        <f t="array" ref="Z74">IF($C74="","",IFERROR(IF(INDEX('05_Theo_Doi_Gio_Cong_7_Ngay'!$Q:$Q,MATCH($C74,'05_Theo_Doi_Gio_Cong_7_Ngay'!$B:$B,0))=0,"",INDEX('05_Theo_Doi_Gio_Cong_7_Ngay'!$Q:$Q,MATCH($C74,'05_Theo_Doi_Gio_Cong_7_Ngay'!$B:$B,0))),""))</f>
      </c>
      <c r="AA74" s="60">
        <f t="array" ref="AA74">IF($B74="","",IFERROR(IF(INDEX('02_DS_Nhan_Viec'!$H:$H,MATCH($B74,'02_DS_Nhan_Viec'!$B:$B,0))=0,"",INDEX('02_DS_Nhan_Viec'!$H:$H,MATCH($B74,'02_DS_Nhan_Viec'!$B:$B,0))),""))</f>
      </c>
      <c r="AB74" s="60">
        <f t="array" ref="AB74">IF($B74="","",IFERROR(IF(INDEX('02_DS_Nhan_Viec'!$I:$I,MATCH($B74,'02_DS_Nhan_Viec'!$B:$B,0))=0,"",INDEX('02_DS_Nhan_Viec'!$I:$I,MATCH($B74,'02_DS_Nhan_Viec'!$B:$B,0))),""))</f>
      </c>
      <c r="AC74" s="61">
        <f t="array" ref="AC74">IF($B74="","",IF($C74="","Đang theo dõi",IF(OR(IFERROR(INDEX('05_Theo_Doi_Gio_Cong_7_Ngay'!$R:$R,MATCH($C74,'05_Theo_Doi_Gio_Cong_7_Ngay'!$B:$B,0)),"")="",IFERROR(INDEX('05_Theo_Doi_Gio_Cong_7_Ngay'!$R:$R,MATCH($C74,'05_Theo_Doi_Gio_Cong_7_Ngay'!$B:$B,0)),0)=0),"Đang theo dõi",IFERROR(INDEX('06_DS_Chinh_Thuc'!$K:$K,MATCH(IFERROR(INDEX('05_Theo_Doi_Gio_Cong_7_Ngay'!$R:$R,MATCH($C74,'05_Theo_Doi_Gio_Cong_7_Ngay'!$B:$B,0)),0),'06_DS_Chinh_Thuc'!$B:$B,0)),"Đang theo dõi"))))</f>
      </c>
    </row>
    <row r="75" ht="14.25" customHeight="1" spans="1:29" x14ac:dyDescent="0.25">
      <c r="A75" s="52">
        <f t="shared" si="0"/>
      </c>
      <c r="B75" s="52">
        <f t="array" ref="B75">IFERROR(INDEX('02_DS_Nhan_Viec'!$B:$B,MATCH(74,'02_DS_Nhan_Viec'!$M:$M,0)),"")</f>
      </c>
      <c r="C75" s="52">
        <f t="array" ref="C75">IF($B75="","",IFERROR(IF(INDEX('02_DS_Nhan_Viec'!$J:$J,MATCH($B75,'02_DS_Nhan_Viec'!$B:$B,0))=0,"",INDEX('02_DS_Nhan_Viec'!$J:$J,MATCH($B75,'02_DS_Nhan_Viec'!$B:$B,0))),""))</f>
      </c>
      <c r="D75" s="52">
        <f t="array" ref="D75">IF($C75="","",IFERROR(IF(INDEX('05_Theo_Doi_Gio_Cong_7_Ngay'!$R:$R,MATCH($C75,'05_Theo_Doi_Gio_Cong_7_Ngay'!$B:$B,0))=0,"",INDEX('05_Theo_Doi_Gio_Cong_7_Ngay'!$R:$R,MATCH($C75,'05_Theo_Doi_Gio_Cong_7_Ngay'!$B:$B,0))),""))</f>
      </c>
      <c r="E75" s="60">
        <f t="array" ref="E75">IF($B75="","",IFERROR(IF(INDEX('01_UngVien_PhongVan'!$D:$D,MATCH($B75,'01_UngVien_PhongVan'!$B:$B,0))=0,"",INDEX('01_UngVien_PhongVan'!$D:$D,MATCH($B75,'01_UngVien_PhongVan'!$B:$B,0))),""))</f>
      </c>
      <c r="F75" s="52">
        <f t="array" ref="F75">IF($B75="","",IFERROR(IF(INDEX('01_UngVien_PhongVan'!$F:$F,MATCH($B75,'01_UngVien_PhongVan'!$B:$B,0))=0,"",INDEX('01_UngVien_PhongVan'!$F:$F,MATCH($B75,'01_UngVien_PhongVan'!$B:$B,0))),""))</f>
      </c>
      <c r="G75" s="72">
        <f t="array" ref="G75">IF($B75="","",IFERROR(IF(INDEX('01_UngVien_PhongVan'!$G:$G,MATCH($B75,'01_UngVien_PhongVan'!$B:$B,0))=0,"",INDEX('01_UngVien_PhongVan'!$G:$G,MATCH($B75,'01_UngVien_PhongVan'!$B:$B,0))),""))</f>
      </c>
      <c r="H75" s="52">
        <f t="array" ref="H75">IF($B75="","",IFERROR(IF(INDEX('01_UngVien_PhongVan'!$H:$H,MATCH($B75,'01_UngVien_PhongVan'!$B:$B,0))=0,"",INDEX('01_UngVien_PhongVan'!$H:$H,MATCH($B75,'01_UngVien_PhongVan'!$B:$B,0))),""))</f>
      </c>
      <c r="I75" s="60">
        <f t="array" ref="I75">IF($B75="","",IFERROR(IF(INDEX('01_UngVien_PhongVan'!$I:$I,MATCH($B75,'01_UngVien_PhongVan'!$B:$B,0))=0,"",INDEX('01_UngVien_PhongVan'!$I:$I,MATCH($B75,'01_UngVien_PhongVan'!$B:$B,0))),""))</f>
      </c>
      <c r="J75" s="60">
        <f t="array" ref="J75">IF($B75="","",IFERROR(IF(INDEX('01_UngVien_PhongVan'!$J:$J,MATCH($B75,'01_UngVien_PhongVan'!$B:$B,0))=0,"",INDEX('01_UngVien_PhongVan'!$J:$J,MATCH($B75,'01_UngVien_PhongVan'!$B:$B,0))),""))</f>
      </c>
      <c r="K75" s="73">
        <f t="array" ref="K75">IF($B75="","",IFERROR(IF(INDEX('01_UngVien_PhongVan'!$K:$K,MATCH($B75,'01_UngVien_PhongVan'!$B:$B,0))=0,"",INDEX('01_UngVien_PhongVan'!$K:$K,MATCH($B75,'01_UngVien_PhongVan'!$B:$B,0))),""))</f>
      </c>
      <c r="L75" s="60">
        <f t="array" ref="L75">IF($B75="","",IFERROR(IF(INDEX('01_UngVien_PhongVan'!$L:$L,MATCH($B75,'01_UngVien_PhongVan'!$B:$B,0))=0,"",INDEX('01_UngVien_PhongVan'!$L:$L,MATCH($B75,'01_UngVien_PhongVan'!$B:$B,0))),""))</f>
      </c>
      <c r="M75" s="60">
        <f t="array" ref="M75">IF($B75="","",IFERROR(IF(INDEX('01_UngVien_PhongVan'!$E:$E,MATCH($B75,'01_UngVien_PhongVan'!$B:$B,0))=0,"",INDEX('01_UngVien_PhongVan'!$E:$E,MATCH($B75,'01_UngVien_PhongVan'!$B:$B,0))),""))</f>
      </c>
      <c r="N75" s="60">
        <f t="array" ref="N75">IF($B75="","",IFERROR(IF(INDEX('01_UngVien_PhongVan'!$M:$M,MATCH($B75,'01_UngVien_PhongVan'!$B:$B,0))=0,"",INDEX('01_UngVien_PhongVan'!$M:$M,MATCH($B75,'01_UngVien_PhongVan'!$B:$B,0))),""))</f>
      </c>
      <c r="O75" s="60">
        <f t="array" ref="O75">IF($B75="","",IFERROR(IF(INDEX('01_UngVien_PhongVan'!$N:$N,MATCH($B75,'01_UngVien_PhongVan'!$B:$B,0))=0,"",INDEX('01_UngVien_PhongVan'!$N:$N,MATCH($B75,'01_UngVien_PhongVan'!$B:$B,0))),""))</f>
      </c>
      <c r="P75" s="60">
        <f t="array" ref="P75">IF($B75="","",IFERROR(IF(INDEX('01_UngVien_PhongVan'!$O:$O,MATCH($B75,'01_UngVien_PhongVan'!$B:$B,0))=0,"",INDEX('01_UngVien_PhongVan'!$O:$O,MATCH($B75,'01_UngVien_PhongVan'!$B:$B,0))),""))</f>
      </c>
      <c r="Q75" s="60">
        <f t="array" ref="Q75">IF($B75="","",IFERROR(IF(INDEX('01_UngVien_PhongVan'!$P:$P,MATCH($B75,'01_UngVien_PhongVan'!$B:$B,0))=0,"",INDEX('01_UngVien_PhongVan'!$P:$P,MATCH($B75,'01_UngVien_PhongVan'!$B:$B,0))),""))</f>
      </c>
      <c r="R75" s="60">
        <f t="array" ref="R75">IF($B75="","",IFERROR(IF(INDEX('01_UngVien_PhongVan'!$Q:$Q,MATCH($B75,'01_UngVien_PhongVan'!$B:$B,0))=0,"",INDEX('01_UngVien_PhongVan'!$Q:$Q,MATCH($B75,'01_UngVien_PhongVan'!$B:$B,0))),""))</f>
      </c>
      <c r="S75" s="60">
        <f t="array" ref="S75">IF($B75="","",IFERROR(IF(INDEX('01_UngVien_PhongVan'!$R:$R,MATCH($B75,'01_UngVien_PhongVan'!$B:$B,0))=0,"",INDEX('01_UngVien_PhongVan'!$R:$R,MATCH($B75,'01_UngVien_PhongVan'!$B:$B,0))),""))</f>
      </c>
      <c r="T75" s="60">
        <f t="array" ref="T75">IF($B75="","",IFERROR(IF(INDEX('01_UngVien_PhongVan'!$U:$U,MATCH($B75,'01_UngVien_PhongVan'!$B:$B,0))=0,"",INDEX('01_UngVien_PhongVan'!$U:$U,MATCH($B75,'01_UngVien_PhongVan'!$B:$B,0))),""))</f>
      </c>
      <c r="U75" s="73">
        <f t="array" ref="U75">IF($B75="","",IFERROR(IF(INDEX('01_UngVien_PhongVan'!$C:$C,MATCH($B75,'01_UngVien_PhongVan'!$B:$B,0))=0,"",INDEX('01_UngVien_PhongVan'!$C:$C,MATCH($B75,'01_UngVien_PhongVan'!$B:$B,0))),""))</f>
      </c>
      <c r="V75" s="73">
        <f t="array" ref="V75">IF($B75="","",IFERROR(IF(INDEX('02_DS_Nhan_Viec'!$D:$D,MATCH($B75,'02_DS_Nhan_Viec'!$B:$B,0))=0,"",INDEX('02_DS_Nhan_Viec'!$D:$D,MATCH($B75,'02_DS_Nhan_Viec'!$B:$B,0))),""))</f>
      </c>
      <c r="W75" s="73">
        <f t="array" ref="W75">IF($B75="","",IFERROR(IF(INDEX('02_DS_Nhan_Viec'!$E:$E,MATCH($B75,'02_DS_Nhan_Viec'!$B:$B,0))=0,"",INDEX('02_DS_Nhan_Viec'!$E:$E,MATCH($B75,'02_DS_Nhan_Viec'!$B:$B,0))),""))</f>
      </c>
      <c r="X75" s="73">
        <f t="array" ref="X75">IF($C75="","",IFERROR(IF(INDEX('05_Theo_Doi_Gio_Cong_7_Ngay'!$P:$P,MATCH($C75,'05_Theo_Doi_Gio_Cong_7_Ngay'!$B:$B,0))=0,"",INDEX('05_Theo_Doi_Gio_Cong_7_Ngay'!$P:$P,MATCH($C75,'05_Theo_Doi_Gio_Cong_7_Ngay'!$B:$B,0))),""))</f>
      </c>
      <c r="Y75" s="60">
        <f t="array" ref="Y75">IF($C75="","",IFERROR(IF(INDEX('05_Theo_Doi_Gio_Cong_7_Ngay'!$M:$M,MATCH($C75,'05_Theo_Doi_Gio_Cong_7_Ngay'!$B:$B,0))=0,"",INDEX('05_Theo_Doi_Gio_Cong_7_Ngay'!$M:$M,MATCH($C75,'05_Theo_Doi_Gio_Cong_7_Ngay'!$B:$B,0))),""))</f>
      </c>
      <c r="Z75" s="60">
        <f t="array" ref="Z75">IF($C75="","",IFERROR(IF(INDEX('05_Theo_Doi_Gio_Cong_7_Ngay'!$Q:$Q,MATCH($C75,'05_Theo_Doi_Gio_Cong_7_Ngay'!$B:$B,0))=0,"",INDEX('05_Theo_Doi_Gio_Cong_7_Ngay'!$Q:$Q,MATCH($C75,'05_Theo_Doi_Gio_Cong_7_Ngay'!$B:$B,0))),""))</f>
      </c>
      <c r="AA75" s="60">
        <f t="array" ref="AA75">IF($B75="","",IFERROR(IF(INDEX('02_DS_Nhan_Viec'!$H:$H,MATCH($B75,'02_DS_Nhan_Viec'!$B:$B,0))=0,"",INDEX('02_DS_Nhan_Viec'!$H:$H,MATCH($B75,'02_DS_Nhan_Viec'!$B:$B,0))),""))</f>
      </c>
      <c r="AB75" s="60">
        <f t="array" ref="AB75">IF($B75="","",IFERROR(IF(INDEX('02_DS_Nhan_Viec'!$I:$I,MATCH($B75,'02_DS_Nhan_Viec'!$B:$B,0))=0,"",INDEX('02_DS_Nhan_Viec'!$I:$I,MATCH($B75,'02_DS_Nhan_Viec'!$B:$B,0))),""))</f>
      </c>
      <c r="AC75" s="61">
        <f t="array" ref="AC75">IF($B75="","",IF($C75="","Đang theo dõi",IF(OR(IFERROR(INDEX('05_Theo_Doi_Gio_Cong_7_Ngay'!$R:$R,MATCH($C75,'05_Theo_Doi_Gio_Cong_7_Ngay'!$B:$B,0)),"")="",IFERROR(INDEX('05_Theo_Doi_Gio_Cong_7_Ngay'!$R:$R,MATCH($C75,'05_Theo_Doi_Gio_Cong_7_Ngay'!$B:$B,0)),0)=0),"Đang theo dõi",IFERROR(INDEX('06_DS_Chinh_Thuc'!$K:$K,MATCH(IFERROR(INDEX('05_Theo_Doi_Gio_Cong_7_Ngay'!$R:$R,MATCH($C75,'05_Theo_Doi_Gio_Cong_7_Ngay'!$B:$B,0)),0),'06_DS_Chinh_Thuc'!$B:$B,0)),"Đang theo dõi"))))</f>
      </c>
    </row>
    <row r="76" ht="14.25" customHeight="1" spans="1:29" x14ac:dyDescent="0.25">
      <c r="A76" s="52">
        <f t="shared" si="0"/>
      </c>
      <c r="B76" s="52">
        <f t="array" ref="B76">IFERROR(INDEX('02_DS_Nhan_Viec'!$B:$B,MATCH(75,'02_DS_Nhan_Viec'!$M:$M,0)),"")</f>
      </c>
      <c r="C76" s="52">
        <f t="array" ref="C76">IF($B76="","",IFERROR(IF(INDEX('02_DS_Nhan_Viec'!$J:$J,MATCH($B76,'02_DS_Nhan_Viec'!$B:$B,0))=0,"",INDEX('02_DS_Nhan_Viec'!$J:$J,MATCH($B76,'02_DS_Nhan_Viec'!$B:$B,0))),""))</f>
      </c>
      <c r="D76" s="52">
        <f t="array" ref="D76">IF($C76="","",IFERROR(IF(INDEX('05_Theo_Doi_Gio_Cong_7_Ngay'!$R:$R,MATCH($C76,'05_Theo_Doi_Gio_Cong_7_Ngay'!$B:$B,0))=0,"",INDEX('05_Theo_Doi_Gio_Cong_7_Ngay'!$R:$R,MATCH($C76,'05_Theo_Doi_Gio_Cong_7_Ngay'!$B:$B,0))),""))</f>
      </c>
      <c r="E76" s="60">
        <f t="array" ref="E76">IF($B76="","",IFERROR(IF(INDEX('01_UngVien_PhongVan'!$D:$D,MATCH($B76,'01_UngVien_PhongVan'!$B:$B,0))=0,"",INDEX('01_UngVien_PhongVan'!$D:$D,MATCH($B76,'01_UngVien_PhongVan'!$B:$B,0))),""))</f>
      </c>
      <c r="F76" s="52">
        <f t="array" ref="F76">IF($B76="","",IFERROR(IF(INDEX('01_UngVien_PhongVan'!$F:$F,MATCH($B76,'01_UngVien_PhongVan'!$B:$B,0))=0,"",INDEX('01_UngVien_PhongVan'!$F:$F,MATCH($B76,'01_UngVien_PhongVan'!$B:$B,0))),""))</f>
      </c>
      <c r="G76" s="72">
        <f t="array" ref="G76">IF($B76="","",IFERROR(IF(INDEX('01_UngVien_PhongVan'!$G:$G,MATCH($B76,'01_UngVien_PhongVan'!$B:$B,0))=0,"",INDEX('01_UngVien_PhongVan'!$G:$G,MATCH($B76,'01_UngVien_PhongVan'!$B:$B,0))),""))</f>
      </c>
      <c r="H76" s="52">
        <f t="array" ref="H76">IF($B76="","",IFERROR(IF(INDEX('01_UngVien_PhongVan'!$H:$H,MATCH($B76,'01_UngVien_PhongVan'!$B:$B,0))=0,"",INDEX('01_UngVien_PhongVan'!$H:$H,MATCH($B76,'01_UngVien_PhongVan'!$B:$B,0))),""))</f>
      </c>
      <c r="I76" s="60">
        <f t="array" ref="I76">IF($B76="","",IFERROR(IF(INDEX('01_UngVien_PhongVan'!$I:$I,MATCH($B76,'01_UngVien_PhongVan'!$B:$B,0))=0,"",INDEX('01_UngVien_PhongVan'!$I:$I,MATCH($B76,'01_UngVien_PhongVan'!$B:$B,0))),""))</f>
      </c>
      <c r="J76" s="60">
        <f t="array" ref="J76">IF($B76="","",IFERROR(IF(INDEX('01_UngVien_PhongVan'!$J:$J,MATCH($B76,'01_UngVien_PhongVan'!$B:$B,0))=0,"",INDEX('01_UngVien_PhongVan'!$J:$J,MATCH($B76,'01_UngVien_PhongVan'!$B:$B,0))),""))</f>
      </c>
      <c r="K76" s="73">
        <f t="array" ref="K76">IF($B76="","",IFERROR(IF(INDEX('01_UngVien_PhongVan'!$K:$K,MATCH($B76,'01_UngVien_PhongVan'!$B:$B,0))=0,"",INDEX('01_UngVien_PhongVan'!$K:$K,MATCH($B76,'01_UngVien_PhongVan'!$B:$B,0))),""))</f>
      </c>
      <c r="L76" s="60">
        <f t="array" ref="L76">IF($B76="","",IFERROR(IF(INDEX('01_UngVien_PhongVan'!$L:$L,MATCH($B76,'01_UngVien_PhongVan'!$B:$B,0))=0,"",INDEX('01_UngVien_PhongVan'!$L:$L,MATCH($B76,'01_UngVien_PhongVan'!$B:$B,0))),""))</f>
      </c>
      <c r="M76" s="60">
        <f t="array" ref="M76">IF($B76="","",IFERROR(IF(INDEX('01_UngVien_PhongVan'!$E:$E,MATCH($B76,'01_UngVien_PhongVan'!$B:$B,0))=0,"",INDEX('01_UngVien_PhongVan'!$E:$E,MATCH($B76,'01_UngVien_PhongVan'!$B:$B,0))),""))</f>
      </c>
      <c r="N76" s="60">
        <f t="array" ref="N76">IF($B76="","",IFERROR(IF(INDEX('01_UngVien_PhongVan'!$M:$M,MATCH($B76,'01_UngVien_PhongVan'!$B:$B,0))=0,"",INDEX('01_UngVien_PhongVan'!$M:$M,MATCH($B76,'01_UngVien_PhongVan'!$B:$B,0))),""))</f>
      </c>
      <c r="O76" s="60">
        <f t="array" ref="O76">IF($B76="","",IFERROR(IF(INDEX('01_UngVien_PhongVan'!$N:$N,MATCH($B76,'01_UngVien_PhongVan'!$B:$B,0))=0,"",INDEX('01_UngVien_PhongVan'!$N:$N,MATCH($B76,'01_UngVien_PhongVan'!$B:$B,0))),""))</f>
      </c>
      <c r="P76" s="60">
        <f t="array" ref="P76">IF($B76="","",IFERROR(IF(INDEX('01_UngVien_PhongVan'!$O:$O,MATCH($B76,'01_UngVien_PhongVan'!$B:$B,0))=0,"",INDEX('01_UngVien_PhongVan'!$O:$O,MATCH($B76,'01_UngVien_PhongVan'!$B:$B,0))),""))</f>
      </c>
      <c r="Q76" s="60">
        <f t="array" ref="Q76">IF($B76="","",IFERROR(IF(INDEX('01_UngVien_PhongVan'!$P:$P,MATCH($B76,'01_UngVien_PhongVan'!$B:$B,0))=0,"",INDEX('01_UngVien_PhongVan'!$P:$P,MATCH($B76,'01_UngVien_PhongVan'!$B:$B,0))),""))</f>
      </c>
      <c r="R76" s="60">
        <f t="array" ref="R76">IF($B76="","",IFERROR(IF(INDEX('01_UngVien_PhongVan'!$Q:$Q,MATCH($B76,'01_UngVien_PhongVan'!$B:$B,0))=0,"",INDEX('01_UngVien_PhongVan'!$Q:$Q,MATCH($B76,'01_UngVien_PhongVan'!$B:$B,0))),""))</f>
      </c>
      <c r="S76" s="60">
        <f t="array" ref="S76">IF($B76="","",IFERROR(IF(INDEX('01_UngVien_PhongVan'!$R:$R,MATCH($B76,'01_UngVien_PhongVan'!$B:$B,0))=0,"",INDEX('01_UngVien_PhongVan'!$R:$R,MATCH($B76,'01_UngVien_PhongVan'!$B:$B,0))),""))</f>
      </c>
      <c r="T76" s="60">
        <f t="array" ref="T76">IF($B76="","",IFERROR(IF(INDEX('01_UngVien_PhongVan'!$U:$U,MATCH($B76,'01_UngVien_PhongVan'!$B:$B,0))=0,"",INDEX('01_UngVien_PhongVan'!$U:$U,MATCH($B76,'01_UngVien_PhongVan'!$B:$B,0))),""))</f>
      </c>
      <c r="U76" s="73">
        <f t="array" ref="U76">IF($B76="","",IFERROR(IF(INDEX('01_UngVien_PhongVan'!$C:$C,MATCH($B76,'01_UngVien_PhongVan'!$B:$B,0))=0,"",INDEX('01_UngVien_PhongVan'!$C:$C,MATCH($B76,'01_UngVien_PhongVan'!$B:$B,0))),""))</f>
      </c>
      <c r="V76" s="73">
        <f t="array" ref="V76">IF($B76="","",IFERROR(IF(INDEX('02_DS_Nhan_Viec'!$D:$D,MATCH($B76,'02_DS_Nhan_Viec'!$B:$B,0))=0,"",INDEX('02_DS_Nhan_Viec'!$D:$D,MATCH($B76,'02_DS_Nhan_Viec'!$B:$B,0))),""))</f>
      </c>
      <c r="W76" s="73">
        <f t="array" ref="W76">IF($B76="","",IFERROR(IF(INDEX('02_DS_Nhan_Viec'!$E:$E,MATCH($B76,'02_DS_Nhan_Viec'!$B:$B,0))=0,"",INDEX('02_DS_Nhan_Viec'!$E:$E,MATCH($B76,'02_DS_Nhan_Viec'!$B:$B,0))),""))</f>
      </c>
      <c r="X76" s="73">
        <f t="array" ref="X76">IF($C76="","",IFERROR(IF(INDEX('05_Theo_Doi_Gio_Cong_7_Ngay'!$P:$P,MATCH($C76,'05_Theo_Doi_Gio_Cong_7_Ngay'!$B:$B,0))=0,"",INDEX('05_Theo_Doi_Gio_Cong_7_Ngay'!$P:$P,MATCH($C76,'05_Theo_Doi_Gio_Cong_7_Ngay'!$B:$B,0))),""))</f>
      </c>
      <c r="Y76" s="60">
        <f t="array" ref="Y76">IF($C76="","",IFERROR(IF(INDEX('05_Theo_Doi_Gio_Cong_7_Ngay'!$M:$M,MATCH($C76,'05_Theo_Doi_Gio_Cong_7_Ngay'!$B:$B,0))=0,"",INDEX('05_Theo_Doi_Gio_Cong_7_Ngay'!$M:$M,MATCH($C76,'05_Theo_Doi_Gio_Cong_7_Ngay'!$B:$B,0))),""))</f>
      </c>
      <c r="Z76" s="60">
        <f t="array" ref="Z76">IF($C76="","",IFERROR(IF(INDEX('05_Theo_Doi_Gio_Cong_7_Ngay'!$Q:$Q,MATCH($C76,'05_Theo_Doi_Gio_Cong_7_Ngay'!$B:$B,0))=0,"",INDEX('05_Theo_Doi_Gio_Cong_7_Ngay'!$Q:$Q,MATCH($C76,'05_Theo_Doi_Gio_Cong_7_Ngay'!$B:$B,0))),""))</f>
      </c>
      <c r="AA76" s="60">
        <f t="array" ref="AA76">IF($B76="","",IFERROR(IF(INDEX('02_DS_Nhan_Viec'!$H:$H,MATCH($B76,'02_DS_Nhan_Viec'!$B:$B,0))=0,"",INDEX('02_DS_Nhan_Viec'!$H:$H,MATCH($B76,'02_DS_Nhan_Viec'!$B:$B,0))),""))</f>
      </c>
      <c r="AB76" s="60">
        <f t="array" ref="AB76">IF($B76="","",IFERROR(IF(INDEX('02_DS_Nhan_Viec'!$I:$I,MATCH($B76,'02_DS_Nhan_Viec'!$B:$B,0))=0,"",INDEX('02_DS_Nhan_Viec'!$I:$I,MATCH($B76,'02_DS_Nhan_Viec'!$B:$B,0))),""))</f>
      </c>
      <c r="AC76" s="61">
        <f t="array" ref="AC76">IF($B76="","",IF($C76="","Đang theo dõi",IF(OR(IFERROR(INDEX('05_Theo_Doi_Gio_Cong_7_Ngay'!$R:$R,MATCH($C76,'05_Theo_Doi_Gio_Cong_7_Ngay'!$B:$B,0)),"")="",IFERROR(INDEX('05_Theo_Doi_Gio_Cong_7_Ngay'!$R:$R,MATCH($C76,'05_Theo_Doi_Gio_Cong_7_Ngay'!$B:$B,0)),0)=0),"Đang theo dõi",IFERROR(INDEX('06_DS_Chinh_Thuc'!$K:$K,MATCH(IFERROR(INDEX('05_Theo_Doi_Gio_Cong_7_Ngay'!$R:$R,MATCH($C76,'05_Theo_Doi_Gio_Cong_7_Ngay'!$B:$B,0)),0),'06_DS_Chinh_Thuc'!$B:$B,0)),"Đang theo dõi"))))</f>
      </c>
    </row>
    <row r="77" ht="14.25" customHeight="1" spans="1:29" x14ac:dyDescent="0.25">
      <c r="A77" s="52">
        <f t="shared" si="0"/>
      </c>
      <c r="B77" s="52">
        <f t="array" ref="B77">IFERROR(INDEX('02_DS_Nhan_Viec'!$B:$B,MATCH(76,'02_DS_Nhan_Viec'!$M:$M,0)),"")</f>
      </c>
      <c r="C77" s="52">
        <f t="array" ref="C77">IF($B77="","",IFERROR(IF(INDEX('02_DS_Nhan_Viec'!$J:$J,MATCH($B77,'02_DS_Nhan_Viec'!$B:$B,0))=0,"",INDEX('02_DS_Nhan_Viec'!$J:$J,MATCH($B77,'02_DS_Nhan_Viec'!$B:$B,0))),""))</f>
      </c>
      <c r="D77" s="52">
        <f t="array" ref="D77">IF($C77="","",IFERROR(IF(INDEX('05_Theo_Doi_Gio_Cong_7_Ngay'!$R:$R,MATCH($C77,'05_Theo_Doi_Gio_Cong_7_Ngay'!$B:$B,0))=0,"",INDEX('05_Theo_Doi_Gio_Cong_7_Ngay'!$R:$R,MATCH($C77,'05_Theo_Doi_Gio_Cong_7_Ngay'!$B:$B,0))),""))</f>
      </c>
      <c r="E77" s="60">
        <f t="array" ref="E77">IF($B77="","",IFERROR(IF(INDEX('01_UngVien_PhongVan'!$D:$D,MATCH($B77,'01_UngVien_PhongVan'!$B:$B,0))=0,"",INDEX('01_UngVien_PhongVan'!$D:$D,MATCH($B77,'01_UngVien_PhongVan'!$B:$B,0))),""))</f>
      </c>
      <c r="F77" s="52">
        <f t="array" ref="F77">IF($B77="","",IFERROR(IF(INDEX('01_UngVien_PhongVan'!$F:$F,MATCH($B77,'01_UngVien_PhongVan'!$B:$B,0))=0,"",INDEX('01_UngVien_PhongVan'!$F:$F,MATCH($B77,'01_UngVien_PhongVan'!$B:$B,0))),""))</f>
      </c>
      <c r="G77" s="72">
        <f t="array" ref="G77">IF($B77="","",IFERROR(IF(INDEX('01_UngVien_PhongVan'!$G:$G,MATCH($B77,'01_UngVien_PhongVan'!$B:$B,0))=0,"",INDEX('01_UngVien_PhongVan'!$G:$G,MATCH($B77,'01_UngVien_PhongVan'!$B:$B,0))),""))</f>
      </c>
      <c r="H77" s="52">
        <f t="array" ref="H77">IF($B77="","",IFERROR(IF(INDEX('01_UngVien_PhongVan'!$H:$H,MATCH($B77,'01_UngVien_PhongVan'!$B:$B,0))=0,"",INDEX('01_UngVien_PhongVan'!$H:$H,MATCH($B77,'01_UngVien_PhongVan'!$B:$B,0))),""))</f>
      </c>
      <c r="I77" s="60">
        <f t="array" ref="I77">IF($B77="","",IFERROR(IF(INDEX('01_UngVien_PhongVan'!$I:$I,MATCH($B77,'01_UngVien_PhongVan'!$B:$B,0))=0,"",INDEX('01_UngVien_PhongVan'!$I:$I,MATCH($B77,'01_UngVien_PhongVan'!$B:$B,0))),""))</f>
      </c>
      <c r="J77" s="60">
        <f t="array" ref="J77">IF($B77="","",IFERROR(IF(INDEX('01_UngVien_PhongVan'!$J:$J,MATCH($B77,'01_UngVien_PhongVan'!$B:$B,0))=0,"",INDEX('01_UngVien_PhongVan'!$J:$J,MATCH($B77,'01_UngVien_PhongVan'!$B:$B,0))),""))</f>
      </c>
      <c r="K77" s="73">
        <f t="array" ref="K77">IF($B77="","",IFERROR(IF(INDEX('01_UngVien_PhongVan'!$K:$K,MATCH($B77,'01_UngVien_PhongVan'!$B:$B,0))=0,"",INDEX('01_UngVien_PhongVan'!$K:$K,MATCH($B77,'01_UngVien_PhongVan'!$B:$B,0))),""))</f>
      </c>
      <c r="L77" s="60">
        <f t="array" ref="L77">IF($B77="","",IFERROR(IF(INDEX('01_UngVien_PhongVan'!$L:$L,MATCH($B77,'01_UngVien_PhongVan'!$B:$B,0))=0,"",INDEX('01_UngVien_PhongVan'!$L:$L,MATCH($B77,'01_UngVien_PhongVan'!$B:$B,0))),""))</f>
      </c>
      <c r="M77" s="60">
        <f t="array" ref="M77">IF($B77="","",IFERROR(IF(INDEX('01_UngVien_PhongVan'!$E:$E,MATCH($B77,'01_UngVien_PhongVan'!$B:$B,0))=0,"",INDEX('01_UngVien_PhongVan'!$E:$E,MATCH($B77,'01_UngVien_PhongVan'!$B:$B,0))),""))</f>
      </c>
      <c r="N77" s="60">
        <f t="array" ref="N77">IF($B77="","",IFERROR(IF(INDEX('01_UngVien_PhongVan'!$M:$M,MATCH($B77,'01_UngVien_PhongVan'!$B:$B,0))=0,"",INDEX('01_UngVien_PhongVan'!$M:$M,MATCH($B77,'01_UngVien_PhongVan'!$B:$B,0))),""))</f>
      </c>
      <c r="O77" s="60">
        <f t="array" ref="O77">IF($B77="","",IFERROR(IF(INDEX('01_UngVien_PhongVan'!$N:$N,MATCH($B77,'01_UngVien_PhongVan'!$B:$B,0))=0,"",INDEX('01_UngVien_PhongVan'!$N:$N,MATCH($B77,'01_UngVien_PhongVan'!$B:$B,0))),""))</f>
      </c>
      <c r="P77" s="60">
        <f t="array" ref="P77">IF($B77="","",IFERROR(IF(INDEX('01_UngVien_PhongVan'!$O:$O,MATCH($B77,'01_UngVien_PhongVan'!$B:$B,0))=0,"",INDEX('01_UngVien_PhongVan'!$O:$O,MATCH($B77,'01_UngVien_PhongVan'!$B:$B,0))),""))</f>
      </c>
      <c r="Q77" s="60">
        <f t="array" ref="Q77">IF($B77="","",IFERROR(IF(INDEX('01_UngVien_PhongVan'!$P:$P,MATCH($B77,'01_UngVien_PhongVan'!$B:$B,0))=0,"",INDEX('01_UngVien_PhongVan'!$P:$P,MATCH($B77,'01_UngVien_PhongVan'!$B:$B,0))),""))</f>
      </c>
      <c r="R77" s="60">
        <f t="array" ref="R77">IF($B77="","",IFERROR(IF(INDEX('01_UngVien_PhongVan'!$Q:$Q,MATCH($B77,'01_UngVien_PhongVan'!$B:$B,0))=0,"",INDEX('01_UngVien_PhongVan'!$Q:$Q,MATCH($B77,'01_UngVien_PhongVan'!$B:$B,0))),""))</f>
      </c>
      <c r="S77" s="60">
        <f t="array" ref="S77">IF($B77="","",IFERROR(IF(INDEX('01_UngVien_PhongVan'!$R:$R,MATCH($B77,'01_UngVien_PhongVan'!$B:$B,0))=0,"",INDEX('01_UngVien_PhongVan'!$R:$R,MATCH($B77,'01_UngVien_PhongVan'!$B:$B,0))),""))</f>
      </c>
      <c r="T77" s="60">
        <f t="array" ref="T77">IF($B77="","",IFERROR(IF(INDEX('01_UngVien_PhongVan'!$U:$U,MATCH($B77,'01_UngVien_PhongVan'!$B:$B,0))=0,"",INDEX('01_UngVien_PhongVan'!$U:$U,MATCH($B77,'01_UngVien_PhongVan'!$B:$B,0))),""))</f>
      </c>
      <c r="U77" s="73">
        <f t="array" ref="U77">IF($B77="","",IFERROR(IF(INDEX('01_UngVien_PhongVan'!$C:$C,MATCH($B77,'01_UngVien_PhongVan'!$B:$B,0))=0,"",INDEX('01_UngVien_PhongVan'!$C:$C,MATCH($B77,'01_UngVien_PhongVan'!$B:$B,0))),""))</f>
      </c>
      <c r="V77" s="73">
        <f t="array" ref="V77">IF($B77="","",IFERROR(IF(INDEX('02_DS_Nhan_Viec'!$D:$D,MATCH($B77,'02_DS_Nhan_Viec'!$B:$B,0))=0,"",INDEX('02_DS_Nhan_Viec'!$D:$D,MATCH($B77,'02_DS_Nhan_Viec'!$B:$B,0))),""))</f>
      </c>
      <c r="W77" s="73">
        <f t="array" ref="W77">IF($B77="","",IFERROR(IF(INDEX('02_DS_Nhan_Viec'!$E:$E,MATCH($B77,'02_DS_Nhan_Viec'!$B:$B,0))=0,"",INDEX('02_DS_Nhan_Viec'!$E:$E,MATCH($B77,'02_DS_Nhan_Viec'!$B:$B,0))),""))</f>
      </c>
      <c r="X77" s="73">
        <f t="array" ref="X77">IF($C77="","",IFERROR(IF(INDEX('05_Theo_Doi_Gio_Cong_7_Ngay'!$P:$P,MATCH($C77,'05_Theo_Doi_Gio_Cong_7_Ngay'!$B:$B,0))=0,"",INDEX('05_Theo_Doi_Gio_Cong_7_Ngay'!$P:$P,MATCH($C77,'05_Theo_Doi_Gio_Cong_7_Ngay'!$B:$B,0))),""))</f>
      </c>
      <c r="Y77" s="60">
        <f t="array" ref="Y77">IF($C77="","",IFERROR(IF(INDEX('05_Theo_Doi_Gio_Cong_7_Ngay'!$M:$M,MATCH($C77,'05_Theo_Doi_Gio_Cong_7_Ngay'!$B:$B,0))=0,"",INDEX('05_Theo_Doi_Gio_Cong_7_Ngay'!$M:$M,MATCH($C77,'05_Theo_Doi_Gio_Cong_7_Ngay'!$B:$B,0))),""))</f>
      </c>
      <c r="Z77" s="60">
        <f t="array" ref="Z77">IF($C77="","",IFERROR(IF(INDEX('05_Theo_Doi_Gio_Cong_7_Ngay'!$Q:$Q,MATCH($C77,'05_Theo_Doi_Gio_Cong_7_Ngay'!$B:$B,0))=0,"",INDEX('05_Theo_Doi_Gio_Cong_7_Ngay'!$Q:$Q,MATCH($C77,'05_Theo_Doi_Gio_Cong_7_Ngay'!$B:$B,0))),""))</f>
      </c>
      <c r="AA77" s="60">
        <f t="array" ref="AA77">IF($B77="","",IFERROR(IF(INDEX('02_DS_Nhan_Viec'!$H:$H,MATCH($B77,'02_DS_Nhan_Viec'!$B:$B,0))=0,"",INDEX('02_DS_Nhan_Viec'!$H:$H,MATCH($B77,'02_DS_Nhan_Viec'!$B:$B,0))),""))</f>
      </c>
      <c r="AB77" s="60">
        <f t="array" ref="AB77">IF($B77="","",IFERROR(IF(INDEX('02_DS_Nhan_Viec'!$I:$I,MATCH($B77,'02_DS_Nhan_Viec'!$B:$B,0))=0,"",INDEX('02_DS_Nhan_Viec'!$I:$I,MATCH($B77,'02_DS_Nhan_Viec'!$B:$B,0))),""))</f>
      </c>
      <c r="AC77" s="61">
        <f t="array" ref="AC77">IF($B77="","",IF($C77="","Đang theo dõi",IF(OR(IFERROR(INDEX('05_Theo_Doi_Gio_Cong_7_Ngay'!$R:$R,MATCH($C77,'05_Theo_Doi_Gio_Cong_7_Ngay'!$B:$B,0)),"")="",IFERROR(INDEX('05_Theo_Doi_Gio_Cong_7_Ngay'!$R:$R,MATCH($C77,'05_Theo_Doi_Gio_Cong_7_Ngay'!$B:$B,0)),0)=0),"Đang theo dõi",IFERROR(INDEX('06_DS_Chinh_Thuc'!$K:$K,MATCH(IFERROR(INDEX('05_Theo_Doi_Gio_Cong_7_Ngay'!$R:$R,MATCH($C77,'05_Theo_Doi_Gio_Cong_7_Ngay'!$B:$B,0)),0),'06_DS_Chinh_Thuc'!$B:$B,0)),"Đang theo dõi"))))</f>
      </c>
    </row>
    <row r="78" ht="14.25" customHeight="1" spans="1:29" x14ac:dyDescent="0.25">
      <c r="A78" s="52">
        <f t="shared" si="0"/>
      </c>
      <c r="B78" s="52">
        <f t="array" ref="B78">IFERROR(INDEX('02_DS_Nhan_Viec'!$B:$B,MATCH(77,'02_DS_Nhan_Viec'!$M:$M,0)),"")</f>
      </c>
      <c r="C78" s="52">
        <f t="array" ref="C78">IF($B78="","",IFERROR(IF(INDEX('02_DS_Nhan_Viec'!$J:$J,MATCH($B78,'02_DS_Nhan_Viec'!$B:$B,0))=0,"",INDEX('02_DS_Nhan_Viec'!$J:$J,MATCH($B78,'02_DS_Nhan_Viec'!$B:$B,0))),""))</f>
      </c>
      <c r="D78" s="52">
        <f t="array" ref="D78">IF($C78="","",IFERROR(IF(INDEX('05_Theo_Doi_Gio_Cong_7_Ngay'!$R:$R,MATCH($C78,'05_Theo_Doi_Gio_Cong_7_Ngay'!$B:$B,0))=0,"",INDEX('05_Theo_Doi_Gio_Cong_7_Ngay'!$R:$R,MATCH($C78,'05_Theo_Doi_Gio_Cong_7_Ngay'!$B:$B,0))),""))</f>
      </c>
      <c r="E78" s="60">
        <f t="array" ref="E78">IF($B78="","",IFERROR(IF(INDEX('01_UngVien_PhongVan'!$D:$D,MATCH($B78,'01_UngVien_PhongVan'!$B:$B,0))=0,"",INDEX('01_UngVien_PhongVan'!$D:$D,MATCH($B78,'01_UngVien_PhongVan'!$B:$B,0))),""))</f>
      </c>
      <c r="F78" s="52">
        <f t="array" ref="F78">IF($B78="","",IFERROR(IF(INDEX('01_UngVien_PhongVan'!$F:$F,MATCH($B78,'01_UngVien_PhongVan'!$B:$B,0))=0,"",INDEX('01_UngVien_PhongVan'!$F:$F,MATCH($B78,'01_UngVien_PhongVan'!$B:$B,0))),""))</f>
      </c>
      <c r="G78" s="72">
        <f t="array" ref="G78">IF($B78="","",IFERROR(IF(INDEX('01_UngVien_PhongVan'!$G:$G,MATCH($B78,'01_UngVien_PhongVan'!$B:$B,0))=0,"",INDEX('01_UngVien_PhongVan'!$G:$G,MATCH($B78,'01_UngVien_PhongVan'!$B:$B,0))),""))</f>
      </c>
      <c r="H78" s="52">
        <f t="array" ref="H78">IF($B78="","",IFERROR(IF(INDEX('01_UngVien_PhongVan'!$H:$H,MATCH($B78,'01_UngVien_PhongVan'!$B:$B,0))=0,"",INDEX('01_UngVien_PhongVan'!$H:$H,MATCH($B78,'01_UngVien_PhongVan'!$B:$B,0))),""))</f>
      </c>
      <c r="I78" s="60">
        <f t="array" ref="I78">IF($B78="","",IFERROR(IF(INDEX('01_UngVien_PhongVan'!$I:$I,MATCH($B78,'01_UngVien_PhongVan'!$B:$B,0))=0,"",INDEX('01_UngVien_PhongVan'!$I:$I,MATCH($B78,'01_UngVien_PhongVan'!$B:$B,0))),""))</f>
      </c>
      <c r="J78" s="60">
        <f t="array" ref="J78">IF($B78="","",IFERROR(IF(INDEX('01_UngVien_PhongVan'!$J:$J,MATCH($B78,'01_UngVien_PhongVan'!$B:$B,0))=0,"",INDEX('01_UngVien_PhongVan'!$J:$J,MATCH($B78,'01_UngVien_PhongVan'!$B:$B,0))),""))</f>
      </c>
      <c r="K78" s="73">
        <f t="array" ref="K78">IF($B78="","",IFERROR(IF(INDEX('01_UngVien_PhongVan'!$K:$K,MATCH($B78,'01_UngVien_PhongVan'!$B:$B,0))=0,"",INDEX('01_UngVien_PhongVan'!$K:$K,MATCH($B78,'01_UngVien_PhongVan'!$B:$B,0))),""))</f>
      </c>
      <c r="L78" s="60">
        <f t="array" ref="L78">IF($B78="","",IFERROR(IF(INDEX('01_UngVien_PhongVan'!$L:$L,MATCH($B78,'01_UngVien_PhongVan'!$B:$B,0))=0,"",INDEX('01_UngVien_PhongVan'!$L:$L,MATCH($B78,'01_UngVien_PhongVan'!$B:$B,0))),""))</f>
      </c>
      <c r="M78" s="60">
        <f t="array" ref="M78">IF($B78="","",IFERROR(IF(INDEX('01_UngVien_PhongVan'!$E:$E,MATCH($B78,'01_UngVien_PhongVan'!$B:$B,0))=0,"",INDEX('01_UngVien_PhongVan'!$E:$E,MATCH($B78,'01_UngVien_PhongVan'!$B:$B,0))),""))</f>
      </c>
      <c r="N78" s="60">
        <f t="array" ref="N78">IF($B78="","",IFERROR(IF(INDEX('01_UngVien_PhongVan'!$M:$M,MATCH($B78,'01_UngVien_PhongVan'!$B:$B,0))=0,"",INDEX('01_UngVien_PhongVan'!$M:$M,MATCH($B78,'01_UngVien_PhongVan'!$B:$B,0))),""))</f>
      </c>
      <c r="O78" s="60">
        <f t="array" ref="O78">IF($B78="","",IFERROR(IF(INDEX('01_UngVien_PhongVan'!$N:$N,MATCH($B78,'01_UngVien_PhongVan'!$B:$B,0))=0,"",INDEX('01_UngVien_PhongVan'!$N:$N,MATCH($B78,'01_UngVien_PhongVan'!$B:$B,0))),""))</f>
      </c>
      <c r="P78" s="60">
        <f t="array" ref="P78">IF($B78="","",IFERROR(IF(INDEX('01_UngVien_PhongVan'!$O:$O,MATCH($B78,'01_UngVien_PhongVan'!$B:$B,0))=0,"",INDEX('01_UngVien_PhongVan'!$O:$O,MATCH($B78,'01_UngVien_PhongVan'!$B:$B,0))),""))</f>
      </c>
      <c r="Q78" s="60">
        <f t="array" ref="Q78">IF($B78="","",IFERROR(IF(INDEX('01_UngVien_PhongVan'!$P:$P,MATCH($B78,'01_UngVien_PhongVan'!$B:$B,0))=0,"",INDEX('01_UngVien_PhongVan'!$P:$P,MATCH($B78,'01_UngVien_PhongVan'!$B:$B,0))),""))</f>
      </c>
      <c r="R78" s="60">
        <f t="array" ref="R78">IF($B78="","",IFERROR(IF(INDEX('01_UngVien_PhongVan'!$Q:$Q,MATCH($B78,'01_UngVien_PhongVan'!$B:$B,0))=0,"",INDEX('01_UngVien_PhongVan'!$Q:$Q,MATCH($B78,'01_UngVien_PhongVan'!$B:$B,0))),""))</f>
      </c>
      <c r="S78" s="60">
        <f t="array" ref="S78">IF($B78="","",IFERROR(IF(INDEX('01_UngVien_PhongVan'!$R:$R,MATCH($B78,'01_UngVien_PhongVan'!$B:$B,0))=0,"",INDEX('01_UngVien_PhongVan'!$R:$R,MATCH($B78,'01_UngVien_PhongVan'!$B:$B,0))),""))</f>
      </c>
      <c r="T78" s="60">
        <f t="array" ref="T78">IF($B78="","",IFERROR(IF(INDEX('01_UngVien_PhongVan'!$U:$U,MATCH($B78,'01_UngVien_PhongVan'!$B:$B,0))=0,"",INDEX('01_UngVien_PhongVan'!$U:$U,MATCH($B78,'01_UngVien_PhongVan'!$B:$B,0))),""))</f>
      </c>
      <c r="U78" s="73">
        <f t="array" ref="U78">IF($B78="","",IFERROR(IF(INDEX('01_UngVien_PhongVan'!$C:$C,MATCH($B78,'01_UngVien_PhongVan'!$B:$B,0))=0,"",INDEX('01_UngVien_PhongVan'!$C:$C,MATCH($B78,'01_UngVien_PhongVan'!$B:$B,0))),""))</f>
      </c>
      <c r="V78" s="73">
        <f t="array" ref="V78">IF($B78="","",IFERROR(IF(INDEX('02_DS_Nhan_Viec'!$D:$D,MATCH($B78,'02_DS_Nhan_Viec'!$B:$B,0))=0,"",INDEX('02_DS_Nhan_Viec'!$D:$D,MATCH($B78,'02_DS_Nhan_Viec'!$B:$B,0))),""))</f>
      </c>
      <c r="W78" s="73">
        <f t="array" ref="W78">IF($B78="","",IFERROR(IF(INDEX('02_DS_Nhan_Viec'!$E:$E,MATCH($B78,'02_DS_Nhan_Viec'!$B:$B,0))=0,"",INDEX('02_DS_Nhan_Viec'!$E:$E,MATCH($B78,'02_DS_Nhan_Viec'!$B:$B,0))),""))</f>
      </c>
      <c r="X78" s="73">
        <f t="array" ref="X78">IF($C78="","",IFERROR(IF(INDEX('05_Theo_Doi_Gio_Cong_7_Ngay'!$P:$P,MATCH($C78,'05_Theo_Doi_Gio_Cong_7_Ngay'!$B:$B,0))=0,"",INDEX('05_Theo_Doi_Gio_Cong_7_Ngay'!$P:$P,MATCH($C78,'05_Theo_Doi_Gio_Cong_7_Ngay'!$B:$B,0))),""))</f>
      </c>
      <c r="Y78" s="60">
        <f t="array" ref="Y78">IF($C78="","",IFERROR(IF(INDEX('05_Theo_Doi_Gio_Cong_7_Ngay'!$M:$M,MATCH($C78,'05_Theo_Doi_Gio_Cong_7_Ngay'!$B:$B,0))=0,"",INDEX('05_Theo_Doi_Gio_Cong_7_Ngay'!$M:$M,MATCH($C78,'05_Theo_Doi_Gio_Cong_7_Ngay'!$B:$B,0))),""))</f>
      </c>
      <c r="Z78" s="60">
        <f t="array" ref="Z78">IF($C78="","",IFERROR(IF(INDEX('05_Theo_Doi_Gio_Cong_7_Ngay'!$Q:$Q,MATCH($C78,'05_Theo_Doi_Gio_Cong_7_Ngay'!$B:$B,0))=0,"",INDEX('05_Theo_Doi_Gio_Cong_7_Ngay'!$Q:$Q,MATCH($C78,'05_Theo_Doi_Gio_Cong_7_Ngay'!$B:$B,0))),""))</f>
      </c>
      <c r="AA78" s="60">
        <f t="array" ref="AA78">IF($B78="","",IFERROR(IF(INDEX('02_DS_Nhan_Viec'!$H:$H,MATCH($B78,'02_DS_Nhan_Viec'!$B:$B,0))=0,"",INDEX('02_DS_Nhan_Viec'!$H:$H,MATCH($B78,'02_DS_Nhan_Viec'!$B:$B,0))),""))</f>
      </c>
      <c r="AB78" s="60">
        <f t="array" ref="AB78">IF($B78="","",IFERROR(IF(INDEX('02_DS_Nhan_Viec'!$I:$I,MATCH($B78,'02_DS_Nhan_Viec'!$B:$B,0))=0,"",INDEX('02_DS_Nhan_Viec'!$I:$I,MATCH($B78,'02_DS_Nhan_Viec'!$B:$B,0))),""))</f>
      </c>
      <c r="AC78" s="61">
        <f t="array" ref="AC78">IF($B78="","",IF($C78="","Đang theo dõi",IF(OR(IFERROR(INDEX('05_Theo_Doi_Gio_Cong_7_Ngay'!$R:$R,MATCH($C78,'05_Theo_Doi_Gio_Cong_7_Ngay'!$B:$B,0)),"")="",IFERROR(INDEX('05_Theo_Doi_Gio_Cong_7_Ngay'!$R:$R,MATCH($C78,'05_Theo_Doi_Gio_Cong_7_Ngay'!$B:$B,0)),0)=0),"Đang theo dõi",IFERROR(INDEX('06_DS_Chinh_Thuc'!$K:$K,MATCH(IFERROR(INDEX('05_Theo_Doi_Gio_Cong_7_Ngay'!$R:$R,MATCH($C78,'05_Theo_Doi_Gio_Cong_7_Ngay'!$B:$B,0)),0),'06_DS_Chinh_Thuc'!$B:$B,0)),"Đang theo dõi"))))</f>
      </c>
    </row>
    <row r="79" ht="14.25" customHeight="1" spans="1:29" x14ac:dyDescent="0.25">
      <c r="A79" s="52">
        <f t="shared" si="0"/>
      </c>
      <c r="B79" s="52">
        <f t="array" ref="B79">IFERROR(INDEX('02_DS_Nhan_Viec'!$B:$B,MATCH(78,'02_DS_Nhan_Viec'!$M:$M,0)),"")</f>
      </c>
      <c r="C79" s="52">
        <f t="array" ref="C79">IF($B79="","",IFERROR(IF(INDEX('02_DS_Nhan_Viec'!$J:$J,MATCH($B79,'02_DS_Nhan_Viec'!$B:$B,0))=0,"",INDEX('02_DS_Nhan_Viec'!$J:$J,MATCH($B79,'02_DS_Nhan_Viec'!$B:$B,0))),""))</f>
      </c>
      <c r="D79" s="52">
        <f t="array" ref="D79">IF($C79="","",IFERROR(IF(INDEX('05_Theo_Doi_Gio_Cong_7_Ngay'!$R:$R,MATCH($C79,'05_Theo_Doi_Gio_Cong_7_Ngay'!$B:$B,0))=0,"",INDEX('05_Theo_Doi_Gio_Cong_7_Ngay'!$R:$R,MATCH($C79,'05_Theo_Doi_Gio_Cong_7_Ngay'!$B:$B,0))),""))</f>
      </c>
      <c r="E79" s="60">
        <f t="array" ref="E79">IF($B79="","",IFERROR(IF(INDEX('01_UngVien_PhongVan'!$D:$D,MATCH($B79,'01_UngVien_PhongVan'!$B:$B,0))=0,"",INDEX('01_UngVien_PhongVan'!$D:$D,MATCH($B79,'01_UngVien_PhongVan'!$B:$B,0))),""))</f>
      </c>
      <c r="F79" s="52">
        <f t="array" ref="F79">IF($B79="","",IFERROR(IF(INDEX('01_UngVien_PhongVan'!$F:$F,MATCH($B79,'01_UngVien_PhongVan'!$B:$B,0))=0,"",INDEX('01_UngVien_PhongVan'!$F:$F,MATCH($B79,'01_UngVien_PhongVan'!$B:$B,0))),""))</f>
      </c>
      <c r="G79" s="72">
        <f t="array" ref="G79">IF($B79="","",IFERROR(IF(INDEX('01_UngVien_PhongVan'!$G:$G,MATCH($B79,'01_UngVien_PhongVan'!$B:$B,0))=0,"",INDEX('01_UngVien_PhongVan'!$G:$G,MATCH($B79,'01_UngVien_PhongVan'!$B:$B,0))),""))</f>
      </c>
      <c r="H79" s="52">
        <f t="array" ref="H79">IF($B79="","",IFERROR(IF(INDEX('01_UngVien_PhongVan'!$H:$H,MATCH($B79,'01_UngVien_PhongVan'!$B:$B,0))=0,"",INDEX('01_UngVien_PhongVan'!$H:$H,MATCH($B79,'01_UngVien_PhongVan'!$B:$B,0))),""))</f>
      </c>
      <c r="I79" s="60">
        <f t="array" ref="I79">IF($B79="","",IFERROR(IF(INDEX('01_UngVien_PhongVan'!$I:$I,MATCH($B79,'01_UngVien_PhongVan'!$B:$B,0))=0,"",INDEX('01_UngVien_PhongVan'!$I:$I,MATCH($B79,'01_UngVien_PhongVan'!$B:$B,0))),""))</f>
      </c>
      <c r="J79" s="60">
        <f t="array" ref="J79">IF($B79="","",IFERROR(IF(INDEX('01_UngVien_PhongVan'!$J:$J,MATCH($B79,'01_UngVien_PhongVan'!$B:$B,0))=0,"",INDEX('01_UngVien_PhongVan'!$J:$J,MATCH($B79,'01_UngVien_PhongVan'!$B:$B,0))),""))</f>
      </c>
      <c r="K79" s="73">
        <f t="array" ref="K79">IF($B79="","",IFERROR(IF(INDEX('01_UngVien_PhongVan'!$K:$K,MATCH($B79,'01_UngVien_PhongVan'!$B:$B,0))=0,"",INDEX('01_UngVien_PhongVan'!$K:$K,MATCH($B79,'01_UngVien_PhongVan'!$B:$B,0))),""))</f>
      </c>
      <c r="L79" s="60">
        <f t="array" ref="L79">IF($B79="","",IFERROR(IF(INDEX('01_UngVien_PhongVan'!$L:$L,MATCH($B79,'01_UngVien_PhongVan'!$B:$B,0))=0,"",INDEX('01_UngVien_PhongVan'!$L:$L,MATCH($B79,'01_UngVien_PhongVan'!$B:$B,0))),""))</f>
      </c>
      <c r="M79" s="60">
        <f t="array" ref="M79">IF($B79="","",IFERROR(IF(INDEX('01_UngVien_PhongVan'!$E:$E,MATCH($B79,'01_UngVien_PhongVan'!$B:$B,0))=0,"",INDEX('01_UngVien_PhongVan'!$E:$E,MATCH($B79,'01_UngVien_PhongVan'!$B:$B,0))),""))</f>
      </c>
      <c r="N79" s="60">
        <f t="array" ref="N79">IF($B79="","",IFERROR(IF(INDEX('01_UngVien_PhongVan'!$M:$M,MATCH($B79,'01_UngVien_PhongVan'!$B:$B,0))=0,"",INDEX('01_UngVien_PhongVan'!$M:$M,MATCH($B79,'01_UngVien_PhongVan'!$B:$B,0))),""))</f>
      </c>
      <c r="O79" s="60">
        <f t="array" ref="O79">IF($B79="","",IFERROR(IF(INDEX('01_UngVien_PhongVan'!$N:$N,MATCH($B79,'01_UngVien_PhongVan'!$B:$B,0))=0,"",INDEX('01_UngVien_PhongVan'!$N:$N,MATCH($B79,'01_UngVien_PhongVan'!$B:$B,0))),""))</f>
      </c>
      <c r="P79" s="60">
        <f t="array" ref="P79">IF($B79="","",IFERROR(IF(INDEX('01_UngVien_PhongVan'!$O:$O,MATCH($B79,'01_UngVien_PhongVan'!$B:$B,0))=0,"",INDEX('01_UngVien_PhongVan'!$O:$O,MATCH($B79,'01_UngVien_PhongVan'!$B:$B,0))),""))</f>
      </c>
      <c r="Q79" s="60">
        <f t="array" ref="Q79">IF($B79="","",IFERROR(IF(INDEX('01_UngVien_PhongVan'!$P:$P,MATCH($B79,'01_UngVien_PhongVan'!$B:$B,0))=0,"",INDEX('01_UngVien_PhongVan'!$P:$P,MATCH($B79,'01_UngVien_PhongVan'!$B:$B,0))),""))</f>
      </c>
      <c r="R79" s="60">
        <f t="array" ref="R79">IF($B79="","",IFERROR(IF(INDEX('01_UngVien_PhongVan'!$Q:$Q,MATCH($B79,'01_UngVien_PhongVan'!$B:$B,0))=0,"",INDEX('01_UngVien_PhongVan'!$Q:$Q,MATCH($B79,'01_UngVien_PhongVan'!$B:$B,0))),""))</f>
      </c>
      <c r="S79" s="60">
        <f t="array" ref="S79">IF($B79="","",IFERROR(IF(INDEX('01_UngVien_PhongVan'!$R:$R,MATCH($B79,'01_UngVien_PhongVan'!$B:$B,0))=0,"",INDEX('01_UngVien_PhongVan'!$R:$R,MATCH($B79,'01_UngVien_PhongVan'!$B:$B,0))),""))</f>
      </c>
      <c r="T79" s="60">
        <f t="array" ref="T79">IF($B79="","",IFERROR(IF(INDEX('01_UngVien_PhongVan'!$U:$U,MATCH($B79,'01_UngVien_PhongVan'!$B:$B,0))=0,"",INDEX('01_UngVien_PhongVan'!$U:$U,MATCH($B79,'01_UngVien_PhongVan'!$B:$B,0))),""))</f>
      </c>
      <c r="U79" s="73">
        <f t="array" ref="U79">IF($B79="","",IFERROR(IF(INDEX('01_UngVien_PhongVan'!$C:$C,MATCH($B79,'01_UngVien_PhongVan'!$B:$B,0))=0,"",INDEX('01_UngVien_PhongVan'!$C:$C,MATCH($B79,'01_UngVien_PhongVan'!$B:$B,0))),""))</f>
      </c>
      <c r="V79" s="73">
        <f t="array" ref="V79">IF($B79="","",IFERROR(IF(INDEX('02_DS_Nhan_Viec'!$D:$D,MATCH($B79,'02_DS_Nhan_Viec'!$B:$B,0))=0,"",INDEX('02_DS_Nhan_Viec'!$D:$D,MATCH($B79,'02_DS_Nhan_Viec'!$B:$B,0))),""))</f>
      </c>
      <c r="W79" s="73">
        <f t="array" ref="W79">IF($B79="","",IFERROR(IF(INDEX('02_DS_Nhan_Viec'!$E:$E,MATCH($B79,'02_DS_Nhan_Viec'!$B:$B,0))=0,"",INDEX('02_DS_Nhan_Viec'!$E:$E,MATCH($B79,'02_DS_Nhan_Viec'!$B:$B,0))),""))</f>
      </c>
      <c r="X79" s="73">
        <f t="array" ref="X79">IF($C79="","",IFERROR(IF(INDEX('05_Theo_Doi_Gio_Cong_7_Ngay'!$P:$P,MATCH($C79,'05_Theo_Doi_Gio_Cong_7_Ngay'!$B:$B,0))=0,"",INDEX('05_Theo_Doi_Gio_Cong_7_Ngay'!$P:$P,MATCH($C79,'05_Theo_Doi_Gio_Cong_7_Ngay'!$B:$B,0))),""))</f>
      </c>
      <c r="Y79" s="60">
        <f t="array" ref="Y79">IF($C79="","",IFERROR(IF(INDEX('05_Theo_Doi_Gio_Cong_7_Ngay'!$M:$M,MATCH($C79,'05_Theo_Doi_Gio_Cong_7_Ngay'!$B:$B,0))=0,"",INDEX('05_Theo_Doi_Gio_Cong_7_Ngay'!$M:$M,MATCH($C79,'05_Theo_Doi_Gio_Cong_7_Ngay'!$B:$B,0))),""))</f>
      </c>
      <c r="Z79" s="60">
        <f t="array" ref="Z79">IF($C79="","",IFERROR(IF(INDEX('05_Theo_Doi_Gio_Cong_7_Ngay'!$Q:$Q,MATCH($C79,'05_Theo_Doi_Gio_Cong_7_Ngay'!$B:$B,0))=0,"",INDEX('05_Theo_Doi_Gio_Cong_7_Ngay'!$Q:$Q,MATCH($C79,'05_Theo_Doi_Gio_Cong_7_Ngay'!$B:$B,0))),""))</f>
      </c>
      <c r="AA79" s="60">
        <f t="array" ref="AA79">IF($B79="","",IFERROR(IF(INDEX('02_DS_Nhan_Viec'!$H:$H,MATCH($B79,'02_DS_Nhan_Viec'!$B:$B,0))=0,"",INDEX('02_DS_Nhan_Viec'!$H:$H,MATCH($B79,'02_DS_Nhan_Viec'!$B:$B,0))),""))</f>
      </c>
      <c r="AB79" s="60">
        <f t="array" ref="AB79">IF($B79="","",IFERROR(IF(INDEX('02_DS_Nhan_Viec'!$I:$I,MATCH($B79,'02_DS_Nhan_Viec'!$B:$B,0))=0,"",INDEX('02_DS_Nhan_Viec'!$I:$I,MATCH($B79,'02_DS_Nhan_Viec'!$B:$B,0))),""))</f>
      </c>
      <c r="AC79" s="61">
        <f t="array" ref="AC79">IF($B79="","",IF($C79="","Đang theo dõi",IF(OR(IFERROR(INDEX('05_Theo_Doi_Gio_Cong_7_Ngay'!$R:$R,MATCH($C79,'05_Theo_Doi_Gio_Cong_7_Ngay'!$B:$B,0)),"")="",IFERROR(INDEX('05_Theo_Doi_Gio_Cong_7_Ngay'!$R:$R,MATCH($C79,'05_Theo_Doi_Gio_Cong_7_Ngay'!$B:$B,0)),0)=0),"Đang theo dõi",IFERROR(INDEX('06_DS_Chinh_Thuc'!$K:$K,MATCH(IFERROR(INDEX('05_Theo_Doi_Gio_Cong_7_Ngay'!$R:$R,MATCH($C79,'05_Theo_Doi_Gio_Cong_7_Ngay'!$B:$B,0)),0),'06_DS_Chinh_Thuc'!$B:$B,0)),"Đang theo dõi"))))</f>
      </c>
    </row>
    <row r="80" ht="14.25" customHeight="1" spans="1:29" x14ac:dyDescent="0.25">
      <c r="A80" s="52">
        <f t="shared" si="0"/>
      </c>
      <c r="B80" s="52">
        <f t="array" ref="B80">IFERROR(INDEX('02_DS_Nhan_Viec'!$B:$B,MATCH(79,'02_DS_Nhan_Viec'!$M:$M,0)),"")</f>
      </c>
      <c r="C80" s="52">
        <f t="array" ref="C80">IF($B80="","",IFERROR(IF(INDEX('02_DS_Nhan_Viec'!$J:$J,MATCH($B80,'02_DS_Nhan_Viec'!$B:$B,0))=0,"",INDEX('02_DS_Nhan_Viec'!$J:$J,MATCH($B80,'02_DS_Nhan_Viec'!$B:$B,0))),""))</f>
      </c>
      <c r="D80" s="52">
        <f t="array" ref="D80">IF($C80="","",IFERROR(IF(INDEX('05_Theo_Doi_Gio_Cong_7_Ngay'!$R:$R,MATCH($C80,'05_Theo_Doi_Gio_Cong_7_Ngay'!$B:$B,0))=0,"",INDEX('05_Theo_Doi_Gio_Cong_7_Ngay'!$R:$R,MATCH($C80,'05_Theo_Doi_Gio_Cong_7_Ngay'!$B:$B,0))),""))</f>
      </c>
      <c r="E80" s="60">
        <f t="array" ref="E80">IF($B80="","",IFERROR(IF(INDEX('01_UngVien_PhongVan'!$D:$D,MATCH($B80,'01_UngVien_PhongVan'!$B:$B,0))=0,"",INDEX('01_UngVien_PhongVan'!$D:$D,MATCH($B80,'01_UngVien_PhongVan'!$B:$B,0))),""))</f>
      </c>
      <c r="F80" s="52">
        <f t="array" ref="F80">IF($B80="","",IFERROR(IF(INDEX('01_UngVien_PhongVan'!$F:$F,MATCH($B80,'01_UngVien_PhongVan'!$B:$B,0))=0,"",INDEX('01_UngVien_PhongVan'!$F:$F,MATCH($B80,'01_UngVien_PhongVan'!$B:$B,0))),""))</f>
      </c>
      <c r="G80" s="72">
        <f t="array" ref="G80">IF($B80="","",IFERROR(IF(INDEX('01_UngVien_PhongVan'!$G:$G,MATCH($B80,'01_UngVien_PhongVan'!$B:$B,0))=0,"",INDEX('01_UngVien_PhongVan'!$G:$G,MATCH($B80,'01_UngVien_PhongVan'!$B:$B,0))),""))</f>
      </c>
      <c r="H80" s="52">
        <f t="array" ref="H80">IF($B80="","",IFERROR(IF(INDEX('01_UngVien_PhongVan'!$H:$H,MATCH($B80,'01_UngVien_PhongVan'!$B:$B,0))=0,"",INDEX('01_UngVien_PhongVan'!$H:$H,MATCH($B80,'01_UngVien_PhongVan'!$B:$B,0))),""))</f>
      </c>
      <c r="I80" s="60">
        <f t="array" ref="I80">IF($B80="","",IFERROR(IF(INDEX('01_UngVien_PhongVan'!$I:$I,MATCH($B80,'01_UngVien_PhongVan'!$B:$B,0))=0,"",INDEX('01_UngVien_PhongVan'!$I:$I,MATCH($B80,'01_UngVien_PhongVan'!$B:$B,0))),""))</f>
      </c>
      <c r="J80" s="60">
        <f t="array" ref="J80">IF($B80="","",IFERROR(IF(INDEX('01_UngVien_PhongVan'!$J:$J,MATCH($B80,'01_UngVien_PhongVan'!$B:$B,0))=0,"",INDEX('01_UngVien_PhongVan'!$J:$J,MATCH($B80,'01_UngVien_PhongVan'!$B:$B,0))),""))</f>
      </c>
      <c r="K80" s="73">
        <f t="array" ref="K80">IF($B80="","",IFERROR(IF(INDEX('01_UngVien_PhongVan'!$K:$K,MATCH($B80,'01_UngVien_PhongVan'!$B:$B,0))=0,"",INDEX('01_UngVien_PhongVan'!$K:$K,MATCH($B80,'01_UngVien_PhongVan'!$B:$B,0))),""))</f>
      </c>
      <c r="L80" s="60">
        <f t="array" ref="L80">IF($B80="","",IFERROR(IF(INDEX('01_UngVien_PhongVan'!$L:$L,MATCH($B80,'01_UngVien_PhongVan'!$B:$B,0))=0,"",INDEX('01_UngVien_PhongVan'!$L:$L,MATCH($B80,'01_UngVien_PhongVan'!$B:$B,0))),""))</f>
      </c>
      <c r="M80" s="60">
        <f t="array" ref="M80">IF($B80="","",IFERROR(IF(INDEX('01_UngVien_PhongVan'!$E:$E,MATCH($B80,'01_UngVien_PhongVan'!$B:$B,0))=0,"",INDEX('01_UngVien_PhongVan'!$E:$E,MATCH($B80,'01_UngVien_PhongVan'!$B:$B,0))),""))</f>
      </c>
      <c r="N80" s="60">
        <f t="array" ref="N80">IF($B80="","",IFERROR(IF(INDEX('01_UngVien_PhongVan'!$M:$M,MATCH($B80,'01_UngVien_PhongVan'!$B:$B,0))=0,"",INDEX('01_UngVien_PhongVan'!$M:$M,MATCH($B80,'01_UngVien_PhongVan'!$B:$B,0))),""))</f>
      </c>
      <c r="O80" s="60">
        <f t="array" ref="O80">IF($B80="","",IFERROR(IF(INDEX('01_UngVien_PhongVan'!$N:$N,MATCH($B80,'01_UngVien_PhongVan'!$B:$B,0))=0,"",INDEX('01_UngVien_PhongVan'!$N:$N,MATCH($B80,'01_UngVien_PhongVan'!$B:$B,0))),""))</f>
      </c>
      <c r="P80" s="60">
        <f t="array" ref="P80">IF($B80="","",IFERROR(IF(INDEX('01_UngVien_PhongVan'!$O:$O,MATCH($B80,'01_UngVien_PhongVan'!$B:$B,0))=0,"",INDEX('01_UngVien_PhongVan'!$O:$O,MATCH($B80,'01_UngVien_PhongVan'!$B:$B,0))),""))</f>
      </c>
      <c r="Q80" s="60">
        <f t="array" ref="Q80">IF($B80="","",IFERROR(IF(INDEX('01_UngVien_PhongVan'!$P:$P,MATCH($B80,'01_UngVien_PhongVan'!$B:$B,0))=0,"",INDEX('01_UngVien_PhongVan'!$P:$P,MATCH($B80,'01_UngVien_PhongVan'!$B:$B,0))),""))</f>
      </c>
      <c r="R80" s="60">
        <f t="array" ref="R80">IF($B80="","",IFERROR(IF(INDEX('01_UngVien_PhongVan'!$Q:$Q,MATCH($B80,'01_UngVien_PhongVan'!$B:$B,0))=0,"",INDEX('01_UngVien_PhongVan'!$Q:$Q,MATCH($B80,'01_UngVien_PhongVan'!$B:$B,0))),""))</f>
      </c>
      <c r="S80" s="60">
        <f t="array" ref="S80">IF($B80="","",IFERROR(IF(INDEX('01_UngVien_PhongVan'!$R:$R,MATCH($B80,'01_UngVien_PhongVan'!$B:$B,0))=0,"",INDEX('01_UngVien_PhongVan'!$R:$R,MATCH($B80,'01_UngVien_PhongVan'!$B:$B,0))),""))</f>
      </c>
      <c r="T80" s="60">
        <f t="array" ref="T80">IF($B80="","",IFERROR(IF(INDEX('01_UngVien_PhongVan'!$U:$U,MATCH($B80,'01_UngVien_PhongVan'!$B:$B,0))=0,"",INDEX('01_UngVien_PhongVan'!$U:$U,MATCH($B80,'01_UngVien_PhongVan'!$B:$B,0))),""))</f>
      </c>
      <c r="U80" s="73">
        <f t="array" ref="U80">IF($B80="","",IFERROR(IF(INDEX('01_UngVien_PhongVan'!$C:$C,MATCH($B80,'01_UngVien_PhongVan'!$B:$B,0))=0,"",INDEX('01_UngVien_PhongVan'!$C:$C,MATCH($B80,'01_UngVien_PhongVan'!$B:$B,0))),""))</f>
      </c>
      <c r="V80" s="73">
        <f t="array" ref="V80">IF($B80="","",IFERROR(IF(INDEX('02_DS_Nhan_Viec'!$D:$D,MATCH($B80,'02_DS_Nhan_Viec'!$B:$B,0))=0,"",INDEX('02_DS_Nhan_Viec'!$D:$D,MATCH($B80,'02_DS_Nhan_Viec'!$B:$B,0))),""))</f>
      </c>
      <c r="W80" s="73">
        <f t="array" ref="W80">IF($B80="","",IFERROR(IF(INDEX('02_DS_Nhan_Viec'!$E:$E,MATCH($B80,'02_DS_Nhan_Viec'!$B:$B,0))=0,"",INDEX('02_DS_Nhan_Viec'!$E:$E,MATCH($B80,'02_DS_Nhan_Viec'!$B:$B,0))),""))</f>
      </c>
      <c r="X80" s="73">
        <f t="array" ref="X80">IF($C80="","",IFERROR(IF(INDEX('05_Theo_Doi_Gio_Cong_7_Ngay'!$P:$P,MATCH($C80,'05_Theo_Doi_Gio_Cong_7_Ngay'!$B:$B,0))=0,"",INDEX('05_Theo_Doi_Gio_Cong_7_Ngay'!$P:$P,MATCH($C80,'05_Theo_Doi_Gio_Cong_7_Ngay'!$B:$B,0))),""))</f>
      </c>
      <c r="Y80" s="60">
        <f t="array" ref="Y80">IF($C80="","",IFERROR(IF(INDEX('05_Theo_Doi_Gio_Cong_7_Ngay'!$M:$M,MATCH($C80,'05_Theo_Doi_Gio_Cong_7_Ngay'!$B:$B,0))=0,"",INDEX('05_Theo_Doi_Gio_Cong_7_Ngay'!$M:$M,MATCH($C80,'05_Theo_Doi_Gio_Cong_7_Ngay'!$B:$B,0))),""))</f>
      </c>
      <c r="Z80" s="60">
        <f t="array" ref="Z80">IF($C80="","",IFERROR(IF(INDEX('05_Theo_Doi_Gio_Cong_7_Ngay'!$Q:$Q,MATCH($C80,'05_Theo_Doi_Gio_Cong_7_Ngay'!$B:$B,0))=0,"",INDEX('05_Theo_Doi_Gio_Cong_7_Ngay'!$Q:$Q,MATCH($C80,'05_Theo_Doi_Gio_Cong_7_Ngay'!$B:$B,0))),""))</f>
      </c>
      <c r="AA80" s="60">
        <f t="array" ref="AA80">IF($B80="","",IFERROR(IF(INDEX('02_DS_Nhan_Viec'!$H:$H,MATCH($B80,'02_DS_Nhan_Viec'!$B:$B,0))=0,"",INDEX('02_DS_Nhan_Viec'!$H:$H,MATCH($B80,'02_DS_Nhan_Viec'!$B:$B,0))),""))</f>
      </c>
      <c r="AB80" s="60">
        <f t="array" ref="AB80">IF($B80="","",IFERROR(IF(INDEX('02_DS_Nhan_Viec'!$I:$I,MATCH($B80,'02_DS_Nhan_Viec'!$B:$B,0))=0,"",INDEX('02_DS_Nhan_Viec'!$I:$I,MATCH($B80,'02_DS_Nhan_Viec'!$B:$B,0))),""))</f>
      </c>
      <c r="AC80" s="61">
        <f t="array" ref="AC80">IF($B80="","",IF($C80="","Đang theo dõi",IF(OR(IFERROR(INDEX('05_Theo_Doi_Gio_Cong_7_Ngay'!$R:$R,MATCH($C80,'05_Theo_Doi_Gio_Cong_7_Ngay'!$B:$B,0)),"")="",IFERROR(INDEX('05_Theo_Doi_Gio_Cong_7_Ngay'!$R:$R,MATCH($C80,'05_Theo_Doi_Gio_Cong_7_Ngay'!$B:$B,0)),0)=0),"Đang theo dõi",IFERROR(INDEX('06_DS_Chinh_Thuc'!$K:$K,MATCH(IFERROR(INDEX('05_Theo_Doi_Gio_Cong_7_Ngay'!$R:$R,MATCH($C80,'05_Theo_Doi_Gio_Cong_7_Ngay'!$B:$B,0)),0),'06_DS_Chinh_Thuc'!$B:$B,0)),"Đang theo dõi"))))</f>
      </c>
    </row>
    <row r="81" ht="14.25" customHeight="1" spans="1:29" x14ac:dyDescent="0.25">
      <c r="A81" s="52">
        <f t="shared" si="0"/>
      </c>
      <c r="B81" s="52">
        <f t="array" ref="B81">IFERROR(INDEX('02_DS_Nhan_Viec'!$B:$B,MATCH(80,'02_DS_Nhan_Viec'!$M:$M,0)),"")</f>
      </c>
      <c r="C81" s="52">
        <f t="array" ref="C81">IF($B81="","",IFERROR(IF(INDEX('02_DS_Nhan_Viec'!$J:$J,MATCH($B81,'02_DS_Nhan_Viec'!$B:$B,0))=0,"",INDEX('02_DS_Nhan_Viec'!$J:$J,MATCH($B81,'02_DS_Nhan_Viec'!$B:$B,0))),""))</f>
      </c>
      <c r="D81" s="52">
        <f t="array" ref="D81">IF($C81="","",IFERROR(IF(INDEX('05_Theo_Doi_Gio_Cong_7_Ngay'!$R:$R,MATCH($C81,'05_Theo_Doi_Gio_Cong_7_Ngay'!$B:$B,0))=0,"",INDEX('05_Theo_Doi_Gio_Cong_7_Ngay'!$R:$R,MATCH($C81,'05_Theo_Doi_Gio_Cong_7_Ngay'!$B:$B,0))),""))</f>
      </c>
      <c r="E81" s="60">
        <f t="array" ref="E81">IF($B81="","",IFERROR(IF(INDEX('01_UngVien_PhongVan'!$D:$D,MATCH($B81,'01_UngVien_PhongVan'!$B:$B,0))=0,"",INDEX('01_UngVien_PhongVan'!$D:$D,MATCH($B81,'01_UngVien_PhongVan'!$B:$B,0))),""))</f>
      </c>
      <c r="F81" s="52">
        <f t="array" ref="F81">IF($B81="","",IFERROR(IF(INDEX('01_UngVien_PhongVan'!$F:$F,MATCH($B81,'01_UngVien_PhongVan'!$B:$B,0))=0,"",INDEX('01_UngVien_PhongVan'!$F:$F,MATCH($B81,'01_UngVien_PhongVan'!$B:$B,0))),""))</f>
      </c>
      <c r="G81" s="72">
        <f t="array" ref="G81">IF($B81="","",IFERROR(IF(INDEX('01_UngVien_PhongVan'!$G:$G,MATCH($B81,'01_UngVien_PhongVan'!$B:$B,0))=0,"",INDEX('01_UngVien_PhongVan'!$G:$G,MATCH($B81,'01_UngVien_PhongVan'!$B:$B,0))),""))</f>
      </c>
      <c r="H81" s="52">
        <f t="array" ref="H81">IF($B81="","",IFERROR(IF(INDEX('01_UngVien_PhongVan'!$H:$H,MATCH($B81,'01_UngVien_PhongVan'!$B:$B,0))=0,"",INDEX('01_UngVien_PhongVan'!$H:$H,MATCH($B81,'01_UngVien_PhongVan'!$B:$B,0))),""))</f>
      </c>
      <c r="I81" s="60">
        <f t="array" ref="I81">IF($B81="","",IFERROR(IF(INDEX('01_UngVien_PhongVan'!$I:$I,MATCH($B81,'01_UngVien_PhongVan'!$B:$B,0))=0,"",INDEX('01_UngVien_PhongVan'!$I:$I,MATCH($B81,'01_UngVien_PhongVan'!$B:$B,0))),""))</f>
      </c>
      <c r="J81" s="60">
        <f t="array" ref="J81">IF($B81="","",IFERROR(IF(INDEX('01_UngVien_PhongVan'!$J:$J,MATCH($B81,'01_UngVien_PhongVan'!$B:$B,0))=0,"",INDEX('01_UngVien_PhongVan'!$J:$J,MATCH($B81,'01_UngVien_PhongVan'!$B:$B,0))),""))</f>
      </c>
      <c r="K81" s="73">
        <f t="array" ref="K81">IF($B81="","",IFERROR(IF(INDEX('01_UngVien_PhongVan'!$K:$K,MATCH($B81,'01_UngVien_PhongVan'!$B:$B,0))=0,"",INDEX('01_UngVien_PhongVan'!$K:$K,MATCH($B81,'01_UngVien_PhongVan'!$B:$B,0))),""))</f>
      </c>
      <c r="L81" s="60">
        <f t="array" ref="L81">IF($B81="","",IFERROR(IF(INDEX('01_UngVien_PhongVan'!$L:$L,MATCH($B81,'01_UngVien_PhongVan'!$B:$B,0))=0,"",INDEX('01_UngVien_PhongVan'!$L:$L,MATCH($B81,'01_UngVien_PhongVan'!$B:$B,0))),""))</f>
      </c>
      <c r="M81" s="60">
        <f t="array" ref="M81">IF($B81="","",IFERROR(IF(INDEX('01_UngVien_PhongVan'!$E:$E,MATCH($B81,'01_UngVien_PhongVan'!$B:$B,0))=0,"",INDEX('01_UngVien_PhongVan'!$E:$E,MATCH($B81,'01_UngVien_PhongVan'!$B:$B,0))),""))</f>
      </c>
      <c r="N81" s="60">
        <f t="array" ref="N81">IF($B81="","",IFERROR(IF(INDEX('01_UngVien_PhongVan'!$M:$M,MATCH($B81,'01_UngVien_PhongVan'!$B:$B,0))=0,"",INDEX('01_UngVien_PhongVan'!$M:$M,MATCH($B81,'01_UngVien_PhongVan'!$B:$B,0))),""))</f>
      </c>
      <c r="O81" s="60">
        <f t="array" ref="O81">IF($B81="","",IFERROR(IF(INDEX('01_UngVien_PhongVan'!$N:$N,MATCH($B81,'01_UngVien_PhongVan'!$B:$B,0))=0,"",INDEX('01_UngVien_PhongVan'!$N:$N,MATCH($B81,'01_UngVien_PhongVan'!$B:$B,0))),""))</f>
      </c>
      <c r="P81" s="60">
        <f t="array" ref="P81">IF($B81="","",IFERROR(IF(INDEX('01_UngVien_PhongVan'!$O:$O,MATCH($B81,'01_UngVien_PhongVan'!$B:$B,0))=0,"",INDEX('01_UngVien_PhongVan'!$O:$O,MATCH($B81,'01_UngVien_PhongVan'!$B:$B,0))),""))</f>
      </c>
      <c r="Q81" s="60">
        <f t="array" ref="Q81">IF($B81="","",IFERROR(IF(INDEX('01_UngVien_PhongVan'!$P:$P,MATCH($B81,'01_UngVien_PhongVan'!$B:$B,0))=0,"",INDEX('01_UngVien_PhongVan'!$P:$P,MATCH($B81,'01_UngVien_PhongVan'!$B:$B,0))),""))</f>
      </c>
      <c r="R81" s="60">
        <f t="array" ref="R81">IF($B81="","",IFERROR(IF(INDEX('01_UngVien_PhongVan'!$Q:$Q,MATCH($B81,'01_UngVien_PhongVan'!$B:$B,0))=0,"",INDEX('01_UngVien_PhongVan'!$Q:$Q,MATCH($B81,'01_UngVien_PhongVan'!$B:$B,0))),""))</f>
      </c>
      <c r="S81" s="60">
        <f t="array" ref="S81">IF($B81="","",IFERROR(IF(INDEX('01_UngVien_PhongVan'!$R:$R,MATCH($B81,'01_UngVien_PhongVan'!$B:$B,0))=0,"",INDEX('01_UngVien_PhongVan'!$R:$R,MATCH($B81,'01_UngVien_PhongVan'!$B:$B,0))),""))</f>
      </c>
      <c r="T81" s="60">
        <f t="array" ref="T81">IF($B81="","",IFERROR(IF(INDEX('01_UngVien_PhongVan'!$U:$U,MATCH($B81,'01_UngVien_PhongVan'!$B:$B,0))=0,"",INDEX('01_UngVien_PhongVan'!$U:$U,MATCH($B81,'01_UngVien_PhongVan'!$B:$B,0))),""))</f>
      </c>
      <c r="U81" s="73">
        <f t="array" ref="U81">IF($B81="","",IFERROR(IF(INDEX('01_UngVien_PhongVan'!$C:$C,MATCH($B81,'01_UngVien_PhongVan'!$B:$B,0))=0,"",INDEX('01_UngVien_PhongVan'!$C:$C,MATCH($B81,'01_UngVien_PhongVan'!$B:$B,0))),""))</f>
      </c>
      <c r="V81" s="73">
        <f t="array" ref="V81">IF($B81="","",IFERROR(IF(INDEX('02_DS_Nhan_Viec'!$D:$D,MATCH($B81,'02_DS_Nhan_Viec'!$B:$B,0))=0,"",INDEX('02_DS_Nhan_Viec'!$D:$D,MATCH($B81,'02_DS_Nhan_Viec'!$B:$B,0))),""))</f>
      </c>
      <c r="W81" s="73">
        <f t="array" ref="W81">IF($B81="","",IFERROR(IF(INDEX('02_DS_Nhan_Viec'!$E:$E,MATCH($B81,'02_DS_Nhan_Viec'!$B:$B,0))=0,"",INDEX('02_DS_Nhan_Viec'!$E:$E,MATCH($B81,'02_DS_Nhan_Viec'!$B:$B,0))),""))</f>
      </c>
      <c r="X81" s="73">
        <f t="array" ref="X81">IF($C81="","",IFERROR(IF(INDEX('05_Theo_Doi_Gio_Cong_7_Ngay'!$P:$P,MATCH($C81,'05_Theo_Doi_Gio_Cong_7_Ngay'!$B:$B,0))=0,"",INDEX('05_Theo_Doi_Gio_Cong_7_Ngay'!$P:$P,MATCH($C81,'05_Theo_Doi_Gio_Cong_7_Ngay'!$B:$B,0))),""))</f>
      </c>
      <c r="Y81" s="60">
        <f t="array" ref="Y81">IF($C81="","",IFERROR(IF(INDEX('05_Theo_Doi_Gio_Cong_7_Ngay'!$M:$M,MATCH($C81,'05_Theo_Doi_Gio_Cong_7_Ngay'!$B:$B,0))=0,"",INDEX('05_Theo_Doi_Gio_Cong_7_Ngay'!$M:$M,MATCH($C81,'05_Theo_Doi_Gio_Cong_7_Ngay'!$B:$B,0))),""))</f>
      </c>
      <c r="Z81" s="60">
        <f t="array" ref="Z81">IF($C81="","",IFERROR(IF(INDEX('05_Theo_Doi_Gio_Cong_7_Ngay'!$Q:$Q,MATCH($C81,'05_Theo_Doi_Gio_Cong_7_Ngay'!$B:$B,0))=0,"",INDEX('05_Theo_Doi_Gio_Cong_7_Ngay'!$Q:$Q,MATCH($C81,'05_Theo_Doi_Gio_Cong_7_Ngay'!$B:$B,0))),""))</f>
      </c>
      <c r="AA81" s="60">
        <f t="array" ref="AA81">IF($B81="","",IFERROR(IF(INDEX('02_DS_Nhan_Viec'!$H:$H,MATCH($B81,'02_DS_Nhan_Viec'!$B:$B,0))=0,"",INDEX('02_DS_Nhan_Viec'!$H:$H,MATCH($B81,'02_DS_Nhan_Viec'!$B:$B,0))),""))</f>
      </c>
      <c r="AB81" s="60">
        <f t="array" ref="AB81">IF($B81="","",IFERROR(IF(INDEX('02_DS_Nhan_Viec'!$I:$I,MATCH($B81,'02_DS_Nhan_Viec'!$B:$B,0))=0,"",INDEX('02_DS_Nhan_Viec'!$I:$I,MATCH($B81,'02_DS_Nhan_Viec'!$B:$B,0))),""))</f>
      </c>
      <c r="AC81" s="61">
        <f t="array" ref="AC81">IF($B81="","",IF($C81="","Đang theo dõi",IF(OR(IFERROR(INDEX('05_Theo_Doi_Gio_Cong_7_Ngay'!$R:$R,MATCH($C81,'05_Theo_Doi_Gio_Cong_7_Ngay'!$B:$B,0)),"")="",IFERROR(INDEX('05_Theo_Doi_Gio_Cong_7_Ngay'!$R:$R,MATCH($C81,'05_Theo_Doi_Gio_Cong_7_Ngay'!$B:$B,0)),0)=0),"Đang theo dõi",IFERROR(INDEX('06_DS_Chinh_Thuc'!$K:$K,MATCH(IFERROR(INDEX('05_Theo_Doi_Gio_Cong_7_Ngay'!$R:$R,MATCH($C81,'05_Theo_Doi_Gio_Cong_7_Ngay'!$B:$B,0)),0),'06_DS_Chinh_Thuc'!$B:$B,0)),"Đang theo dõi"))))</f>
      </c>
    </row>
    <row r="82" ht="14.25" customHeight="1" spans="1:29" x14ac:dyDescent="0.25">
      <c r="A82" s="52">
        <f t="shared" si="0"/>
      </c>
      <c r="B82" s="52">
        <f t="array" ref="B82">IFERROR(INDEX('02_DS_Nhan_Viec'!$B:$B,MATCH(81,'02_DS_Nhan_Viec'!$M:$M,0)),"")</f>
      </c>
      <c r="C82" s="52">
        <f t="array" ref="C82">IF($B82="","",IFERROR(IF(INDEX('02_DS_Nhan_Viec'!$J:$J,MATCH($B82,'02_DS_Nhan_Viec'!$B:$B,0))=0,"",INDEX('02_DS_Nhan_Viec'!$J:$J,MATCH($B82,'02_DS_Nhan_Viec'!$B:$B,0))),""))</f>
      </c>
      <c r="D82" s="52">
        <f t="array" ref="D82">IF($C82="","",IFERROR(IF(INDEX('05_Theo_Doi_Gio_Cong_7_Ngay'!$R:$R,MATCH($C82,'05_Theo_Doi_Gio_Cong_7_Ngay'!$B:$B,0))=0,"",INDEX('05_Theo_Doi_Gio_Cong_7_Ngay'!$R:$R,MATCH($C82,'05_Theo_Doi_Gio_Cong_7_Ngay'!$B:$B,0))),""))</f>
      </c>
      <c r="E82" s="60">
        <f t="array" ref="E82">IF($B82="","",IFERROR(IF(INDEX('01_UngVien_PhongVan'!$D:$D,MATCH($B82,'01_UngVien_PhongVan'!$B:$B,0))=0,"",INDEX('01_UngVien_PhongVan'!$D:$D,MATCH($B82,'01_UngVien_PhongVan'!$B:$B,0))),""))</f>
      </c>
      <c r="F82" s="52">
        <f t="array" ref="F82">IF($B82="","",IFERROR(IF(INDEX('01_UngVien_PhongVan'!$F:$F,MATCH($B82,'01_UngVien_PhongVan'!$B:$B,0))=0,"",INDEX('01_UngVien_PhongVan'!$F:$F,MATCH($B82,'01_UngVien_PhongVan'!$B:$B,0))),""))</f>
      </c>
      <c r="G82" s="72">
        <f t="array" ref="G82">IF($B82="","",IFERROR(IF(INDEX('01_UngVien_PhongVan'!$G:$G,MATCH($B82,'01_UngVien_PhongVan'!$B:$B,0))=0,"",INDEX('01_UngVien_PhongVan'!$G:$G,MATCH($B82,'01_UngVien_PhongVan'!$B:$B,0))),""))</f>
      </c>
      <c r="H82" s="52">
        <f t="array" ref="H82">IF($B82="","",IFERROR(IF(INDEX('01_UngVien_PhongVan'!$H:$H,MATCH($B82,'01_UngVien_PhongVan'!$B:$B,0))=0,"",INDEX('01_UngVien_PhongVan'!$H:$H,MATCH($B82,'01_UngVien_PhongVan'!$B:$B,0))),""))</f>
      </c>
      <c r="I82" s="60">
        <f t="array" ref="I82">IF($B82="","",IFERROR(IF(INDEX('01_UngVien_PhongVan'!$I:$I,MATCH($B82,'01_UngVien_PhongVan'!$B:$B,0))=0,"",INDEX('01_UngVien_PhongVan'!$I:$I,MATCH($B82,'01_UngVien_PhongVan'!$B:$B,0))),""))</f>
      </c>
      <c r="J82" s="60">
        <f t="array" ref="J82">IF($B82="","",IFERROR(IF(INDEX('01_UngVien_PhongVan'!$J:$J,MATCH($B82,'01_UngVien_PhongVan'!$B:$B,0))=0,"",INDEX('01_UngVien_PhongVan'!$J:$J,MATCH($B82,'01_UngVien_PhongVan'!$B:$B,0))),""))</f>
      </c>
      <c r="K82" s="73">
        <f t="array" ref="K82">IF($B82="","",IFERROR(IF(INDEX('01_UngVien_PhongVan'!$K:$K,MATCH($B82,'01_UngVien_PhongVan'!$B:$B,0))=0,"",INDEX('01_UngVien_PhongVan'!$K:$K,MATCH($B82,'01_UngVien_PhongVan'!$B:$B,0))),""))</f>
      </c>
      <c r="L82" s="60">
        <f t="array" ref="L82">IF($B82="","",IFERROR(IF(INDEX('01_UngVien_PhongVan'!$L:$L,MATCH($B82,'01_UngVien_PhongVan'!$B:$B,0))=0,"",INDEX('01_UngVien_PhongVan'!$L:$L,MATCH($B82,'01_UngVien_PhongVan'!$B:$B,0))),""))</f>
      </c>
      <c r="M82" s="60">
        <f t="array" ref="M82">IF($B82="","",IFERROR(IF(INDEX('01_UngVien_PhongVan'!$E:$E,MATCH($B82,'01_UngVien_PhongVan'!$B:$B,0))=0,"",INDEX('01_UngVien_PhongVan'!$E:$E,MATCH($B82,'01_UngVien_PhongVan'!$B:$B,0))),""))</f>
      </c>
      <c r="N82" s="60">
        <f t="array" ref="N82">IF($B82="","",IFERROR(IF(INDEX('01_UngVien_PhongVan'!$M:$M,MATCH($B82,'01_UngVien_PhongVan'!$B:$B,0))=0,"",INDEX('01_UngVien_PhongVan'!$M:$M,MATCH($B82,'01_UngVien_PhongVan'!$B:$B,0))),""))</f>
      </c>
      <c r="O82" s="60">
        <f t="array" ref="O82">IF($B82="","",IFERROR(IF(INDEX('01_UngVien_PhongVan'!$N:$N,MATCH($B82,'01_UngVien_PhongVan'!$B:$B,0))=0,"",INDEX('01_UngVien_PhongVan'!$N:$N,MATCH($B82,'01_UngVien_PhongVan'!$B:$B,0))),""))</f>
      </c>
      <c r="P82" s="60">
        <f t="array" ref="P82">IF($B82="","",IFERROR(IF(INDEX('01_UngVien_PhongVan'!$O:$O,MATCH($B82,'01_UngVien_PhongVan'!$B:$B,0))=0,"",INDEX('01_UngVien_PhongVan'!$O:$O,MATCH($B82,'01_UngVien_PhongVan'!$B:$B,0))),""))</f>
      </c>
      <c r="Q82" s="60">
        <f t="array" ref="Q82">IF($B82="","",IFERROR(IF(INDEX('01_UngVien_PhongVan'!$P:$P,MATCH($B82,'01_UngVien_PhongVan'!$B:$B,0))=0,"",INDEX('01_UngVien_PhongVan'!$P:$P,MATCH($B82,'01_UngVien_PhongVan'!$B:$B,0))),""))</f>
      </c>
      <c r="R82" s="60">
        <f t="array" ref="R82">IF($B82="","",IFERROR(IF(INDEX('01_UngVien_PhongVan'!$Q:$Q,MATCH($B82,'01_UngVien_PhongVan'!$B:$B,0))=0,"",INDEX('01_UngVien_PhongVan'!$Q:$Q,MATCH($B82,'01_UngVien_PhongVan'!$B:$B,0))),""))</f>
      </c>
      <c r="S82" s="60">
        <f t="array" ref="S82">IF($B82="","",IFERROR(IF(INDEX('01_UngVien_PhongVan'!$R:$R,MATCH($B82,'01_UngVien_PhongVan'!$B:$B,0))=0,"",INDEX('01_UngVien_PhongVan'!$R:$R,MATCH($B82,'01_UngVien_PhongVan'!$B:$B,0))),""))</f>
      </c>
      <c r="T82" s="60">
        <f t="array" ref="T82">IF($B82="","",IFERROR(IF(INDEX('01_UngVien_PhongVan'!$U:$U,MATCH($B82,'01_UngVien_PhongVan'!$B:$B,0))=0,"",INDEX('01_UngVien_PhongVan'!$U:$U,MATCH($B82,'01_UngVien_PhongVan'!$B:$B,0))),""))</f>
      </c>
      <c r="U82" s="73">
        <f t="array" ref="U82">IF($B82="","",IFERROR(IF(INDEX('01_UngVien_PhongVan'!$C:$C,MATCH($B82,'01_UngVien_PhongVan'!$B:$B,0))=0,"",INDEX('01_UngVien_PhongVan'!$C:$C,MATCH($B82,'01_UngVien_PhongVan'!$B:$B,0))),""))</f>
      </c>
      <c r="V82" s="73">
        <f t="array" ref="V82">IF($B82="","",IFERROR(IF(INDEX('02_DS_Nhan_Viec'!$D:$D,MATCH($B82,'02_DS_Nhan_Viec'!$B:$B,0))=0,"",INDEX('02_DS_Nhan_Viec'!$D:$D,MATCH($B82,'02_DS_Nhan_Viec'!$B:$B,0))),""))</f>
      </c>
      <c r="W82" s="73">
        <f t="array" ref="W82">IF($B82="","",IFERROR(IF(INDEX('02_DS_Nhan_Viec'!$E:$E,MATCH($B82,'02_DS_Nhan_Viec'!$B:$B,0))=0,"",INDEX('02_DS_Nhan_Viec'!$E:$E,MATCH($B82,'02_DS_Nhan_Viec'!$B:$B,0))),""))</f>
      </c>
      <c r="X82" s="73">
        <f t="array" ref="X82">IF($C82="","",IFERROR(IF(INDEX('05_Theo_Doi_Gio_Cong_7_Ngay'!$P:$P,MATCH($C82,'05_Theo_Doi_Gio_Cong_7_Ngay'!$B:$B,0))=0,"",INDEX('05_Theo_Doi_Gio_Cong_7_Ngay'!$P:$P,MATCH($C82,'05_Theo_Doi_Gio_Cong_7_Ngay'!$B:$B,0))),""))</f>
      </c>
      <c r="Y82" s="60">
        <f t="array" ref="Y82">IF($C82="","",IFERROR(IF(INDEX('05_Theo_Doi_Gio_Cong_7_Ngay'!$M:$M,MATCH($C82,'05_Theo_Doi_Gio_Cong_7_Ngay'!$B:$B,0))=0,"",INDEX('05_Theo_Doi_Gio_Cong_7_Ngay'!$M:$M,MATCH($C82,'05_Theo_Doi_Gio_Cong_7_Ngay'!$B:$B,0))),""))</f>
      </c>
      <c r="Z82" s="60">
        <f t="array" ref="Z82">IF($C82="","",IFERROR(IF(INDEX('05_Theo_Doi_Gio_Cong_7_Ngay'!$Q:$Q,MATCH($C82,'05_Theo_Doi_Gio_Cong_7_Ngay'!$B:$B,0))=0,"",INDEX('05_Theo_Doi_Gio_Cong_7_Ngay'!$Q:$Q,MATCH($C82,'05_Theo_Doi_Gio_Cong_7_Ngay'!$B:$B,0))),""))</f>
      </c>
      <c r="AA82" s="60">
        <f t="array" ref="AA82">IF($B82="","",IFERROR(IF(INDEX('02_DS_Nhan_Viec'!$H:$H,MATCH($B82,'02_DS_Nhan_Viec'!$B:$B,0))=0,"",INDEX('02_DS_Nhan_Viec'!$H:$H,MATCH($B82,'02_DS_Nhan_Viec'!$B:$B,0))),""))</f>
      </c>
      <c r="AB82" s="60">
        <f t="array" ref="AB82">IF($B82="","",IFERROR(IF(INDEX('02_DS_Nhan_Viec'!$I:$I,MATCH($B82,'02_DS_Nhan_Viec'!$B:$B,0))=0,"",INDEX('02_DS_Nhan_Viec'!$I:$I,MATCH($B82,'02_DS_Nhan_Viec'!$B:$B,0))),""))</f>
      </c>
      <c r="AC82" s="61">
        <f t="array" ref="AC82">IF($B82="","",IF($C82="","Đang theo dõi",IF(OR(IFERROR(INDEX('05_Theo_Doi_Gio_Cong_7_Ngay'!$R:$R,MATCH($C82,'05_Theo_Doi_Gio_Cong_7_Ngay'!$B:$B,0)),"")="",IFERROR(INDEX('05_Theo_Doi_Gio_Cong_7_Ngay'!$R:$R,MATCH($C82,'05_Theo_Doi_Gio_Cong_7_Ngay'!$B:$B,0)),0)=0),"Đang theo dõi",IFERROR(INDEX('06_DS_Chinh_Thuc'!$K:$K,MATCH(IFERROR(INDEX('05_Theo_Doi_Gio_Cong_7_Ngay'!$R:$R,MATCH($C82,'05_Theo_Doi_Gio_Cong_7_Ngay'!$B:$B,0)),0),'06_DS_Chinh_Thuc'!$B:$B,0)),"Đang theo dõi"))))</f>
      </c>
    </row>
    <row r="83" ht="14.25" customHeight="1" spans="1:29" x14ac:dyDescent="0.25">
      <c r="A83" s="52">
        <f t="shared" si="0"/>
      </c>
      <c r="B83" s="52">
        <f t="array" ref="B83">IFERROR(INDEX('02_DS_Nhan_Viec'!$B:$B,MATCH(82,'02_DS_Nhan_Viec'!$M:$M,0)),"")</f>
      </c>
      <c r="C83" s="52">
        <f t="array" ref="C83">IF($B83="","",IFERROR(IF(INDEX('02_DS_Nhan_Viec'!$J:$J,MATCH($B83,'02_DS_Nhan_Viec'!$B:$B,0))=0,"",INDEX('02_DS_Nhan_Viec'!$J:$J,MATCH($B83,'02_DS_Nhan_Viec'!$B:$B,0))),""))</f>
      </c>
      <c r="D83" s="52">
        <f t="array" ref="D83">IF($C83="","",IFERROR(IF(INDEX('05_Theo_Doi_Gio_Cong_7_Ngay'!$R:$R,MATCH($C83,'05_Theo_Doi_Gio_Cong_7_Ngay'!$B:$B,0))=0,"",INDEX('05_Theo_Doi_Gio_Cong_7_Ngay'!$R:$R,MATCH($C83,'05_Theo_Doi_Gio_Cong_7_Ngay'!$B:$B,0))),""))</f>
      </c>
      <c r="E83" s="60">
        <f t="array" ref="E83">IF($B83="","",IFERROR(IF(INDEX('01_UngVien_PhongVan'!$D:$D,MATCH($B83,'01_UngVien_PhongVan'!$B:$B,0))=0,"",INDEX('01_UngVien_PhongVan'!$D:$D,MATCH($B83,'01_UngVien_PhongVan'!$B:$B,0))),""))</f>
      </c>
      <c r="F83" s="52">
        <f t="array" ref="F83">IF($B83="","",IFERROR(IF(INDEX('01_UngVien_PhongVan'!$F:$F,MATCH($B83,'01_UngVien_PhongVan'!$B:$B,0))=0,"",INDEX('01_UngVien_PhongVan'!$F:$F,MATCH($B83,'01_UngVien_PhongVan'!$B:$B,0))),""))</f>
      </c>
      <c r="G83" s="72">
        <f t="array" ref="G83">IF($B83="","",IFERROR(IF(INDEX('01_UngVien_PhongVan'!$G:$G,MATCH($B83,'01_UngVien_PhongVan'!$B:$B,0))=0,"",INDEX('01_UngVien_PhongVan'!$G:$G,MATCH($B83,'01_UngVien_PhongVan'!$B:$B,0))),""))</f>
      </c>
      <c r="H83" s="52">
        <f t="array" ref="H83">IF($B83="","",IFERROR(IF(INDEX('01_UngVien_PhongVan'!$H:$H,MATCH($B83,'01_UngVien_PhongVan'!$B:$B,0))=0,"",INDEX('01_UngVien_PhongVan'!$H:$H,MATCH($B83,'01_UngVien_PhongVan'!$B:$B,0))),""))</f>
      </c>
      <c r="I83" s="60">
        <f t="array" ref="I83">IF($B83="","",IFERROR(IF(INDEX('01_UngVien_PhongVan'!$I:$I,MATCH($B83,'01_UngVien_PhongVan'!$B:$B,0))=0,"",INDEX('01_UngVien_PhongVan'!$I:$I,MATCH($B83,'01_UngVien_PhongVan'!$B:$B,0))),""))</f>
      </c>
      <c r="J83" s="60">
        <f t="array" ref="J83">IF($B83="","",IFERROR(IF(INDEX('01_UngVien_PhongVan'!$J:$J,MATCH($B83,'01_UngVien_PhongVan'!$B:$B,0))=0,"",INDEX('01_UngVien_PhongVan'!$J:$J,MATCH($B83,'01_UngVien_PhongVan'!$B:$B,0))),""))</f>
      </c>
      <c r="K83" s="73">
        <f t="array" ref="K83">IF($B83="","",IFERROR(IF(INDEX('01_UngVien_PhongVan'!$K:$K,MATCH($B83,'01_UngVien_PhongVan'!$B:$B,0))=0,"",INDEX('01_UngVien_PhongVan'!$K:$K,MATCH($B83,'01_UngVien_PhongVan'!$B:$B,0))),""))</f>
      </c>
      <c r="L83" s="60">
        <f t="array" ref="L83">IF($B83="","",IFERROR(IF(INDEX('01_UngVien_PhongVan'!$L:$L,MATCH($B83,'01_UngVien_PhongVan'!$B:$B,0))=0,"",INDEX('01_UngVien_PhongVan'!$L:$L,MATCH($B83,'01_UngVien_PhongVan'!$B:$B,0))),""))</f>
      </c>
      <c r="M83" s="60">
        <f t="array" ref="M83">IF($B83="","",IFERROR(IF(INDEX('01_UngVien_PhongVan'!$E:$E,MATCH($B83,'01_UngVien_PhongVan'!$B:$B,0))=0,"",INDEX('01_UngVien_PhongVan'!$E:$E,MATCH($B83,'01_UngVien_PhongVan'!$B:$B,0))),""))</f>
      </c>
      <c r="N83" s="60">
        <f t="array" ref="N83">IF($B83="","",IFERROR(IF(INDEX('01_UngVien_PhongVan'!$M:$M,MATCH($B83,'01_UngVien_PhongVan'!$B:$B,0))=0,"",INDEX('01_UngVien_PhongVan'!$M:$M,MATCH($B83,'01_UngVien_PhongVan'!$B:$B,0))),""))</f>
      </c>
      <c r="O83" s="60">
        <f t="array" ref="O83">IF($B83="","",IFERROR(IF(INDEX('01_UngVien_PhongVan'!$N:$N,MATCH($B83,'01_UngVien_PhongVan'!$B:$B,0))=0,"",INDEX('01_UngVien_PhongVan'!$N:$N,MATCH($B83,'01_UngVien_PhongVan'!$B:$B,0))),""))</f>
      </c>
      <c r="P83" s="60">
        <f t="array" ref="P83">IF($B83="","",IFERROR(IF(INDEX('01_UngVien_PhongVan'!$O:$O,MATCH($B83,'01_UngVien_PhongVan'!$B:$B,0))=0,"",INDEX('01_UngVien_PhongVan'!$O:$O,MATCH($B83,'01_UngVien_PhongVan'!$B:$B,0))),""))</f>
      </c>
      <c r="Q83" s="60">
        <f t="array" ref="Q83">IF($B83="","",IFERROR(IF(INDEX('01_UngVien_PhongVan'!$P:$P,MATCH($B83,'01_UngVien_PhongVan'!$B:$B,0))=0,"",INDEX('01_UngVien_PhongVan'!$P:$P,MATCH($B83,'01_UngVien_PhongVan'!$B:$B,0))),""))</f>
      </c>
      <c r="R83" s="60">
        <f t="array" ref="R83">IF($B83="","",IFERROR(IF(INDEX('01_UngVien_PhongVan'!$Q:$Q,MATCH($B83,'01_UngVien_PhongVan'!$B:$B,0))=0,"",INDEX('01_UngVien_PhongVan'!$Q:$Q,MATCH($B83,'01_UngVien_PhongVan'!$B:$B,0))),""))</f>
      </c>
      <c r="S83" s="60">
        <f t="array" ref="S83">IF($B83="","",IFERROR(IF(INDEX('01_UngVien_PhongVan'!$R:$R,MATCH($B83,'01_UngVien_PhongVan'!$B:$B,0))=0,"",INDEX('01_UngVien_PhongVan'!$R:$R,MATCH($B83,'01_UngVien_PhongVan'!$B:$B,0))),""))</f>
      </c>
      <c r="T83" s="60">
        <f t="array" ref="T83">IF($B83="","",IFERROR(IF(INDEX('01_UngVien_PhongVan'!$U:$U,MATCH($B83,'01_UngVien_PhongVan'!$B:$B,0))=0,"",INDEX('01_UngVien_PhongVan'!$U:$U,MATCH($B83,'01_UngVien_PhongVan'!$B:$B,0))),""))</f>
      </c>
      <c r="U83" s="73">
        <f t="array" ref="U83">IF($B83="","",IFERROR(IF(INDEX('01_UngVien_PhongVan'!$C:$C,MATCH($B83,'01_UngVien_PhongVan'!$B:$B,0))=0,"",INDEX('01_UngVien_PhongVan'!$C:$C,MATCH($B83,'01_UngVien_PhongVan'!$B:$B,0))),""))</f>
      </c>
      <c r="V83" s="73">
        <f t="array" ref="V83">IF($B83="","",IFERROR(IF(INDEX('02_DS_Nhan_Viec'!$D:$D,MATCH($B83,'02_DS_Nhan_Viec'!$B:$B,0))=0,"",INDEX('02_DS_Nhan_Viec'!$D:$D,MATCH($B83,'02_DS_Nhan_Viec'!$B:$B,0))),""))</f>
      </c>
      <c r="W83" s="73">
        <f t="array" ref="W83">IF($B83="","",IFERROR(IF(INDEX('02_DS_Nhan_Viec'!$E:$E,MATCH($B83,'02_DS_Nhan_Viec'!$B:$B,0))=0,"",INDEX('02_DS_Nhan_Viec'!$E:$E,MATCH($B83,'02_DS_Nhan_Viec'!$B:$B,0))),""))</f>
      </c>
      <c r="X83" s="73">
        <f t="array" ref="X83">IF($C83="","",IFERROR(IF(INDEX('05_Theo_Doi_Gio_Cong_7_Ngay'!$P:$P,MATCH($C83,'05_Theo_Doi_Gio_Cong_7_Ngay'!$B:$B,0))=0,"",INDEX('05_Theo_Doi_Gio_Cong_7_Ngay'!$P:$P,MATCH($C83,'05_Theo_Doi_Gio_Cong_7_Ngay'!$B:$B,0))),""))</f>
      </c>
      <c r="Y83" s="60">
        <f t="array" ref="Y83">IF($C83="","",IFERROR(IF(INDEX('05_Theo_Doi_Gio_Cong_7_Ngay'!$M:$M,MATCH($C83,'05_Theo_Doi_Gio_Cong_7_Ngay'!$B:$B,0))=0,"",INDEX('05_Theo_Doi_Gio_Cong_7_Ngay'!$M:$M,MATCH($C83,'05_Theo_Doi_Gio_Cong_7_Ngay'!$B:$B,0))),""))</f>
      </c>
      <c r="Z83" s="60">
        <f t="array" ref="Z83">IF($C83="","",IFERROR(IF(INDEX('05_Theo_Doi_Gio_Cong_7_Ngay'!$Q:$Q,MATCH($C83,'05_Theo_Doi_Gio_Cong_7_Ngay'!$B:$B,0))=0,"",INDEX('05_Theo_Doi_Gio_Cong_7_Ngay'!$Q:$Q,MATCH($C83,'05_Theo_Doi_Gio_Cong_7_Ngay'!$B:$B,0))),""))</f>
      </c>
      <c r="AA83" s="60">
        <f t="array" ref="AA83">IF($B83="","",IFERROR(IF(INDEX('02_DS_Nhan_Viec'!$H:$H,MATCH($B83,'02_DS_Nhan_Viec'!$B:$B,0))=0,"",INDEX('02_DS_Nhan_Viec'!$H:$H,MATCH($B83,'02_DS_Nhan_Viec'!$B:$B,0))),""))</f>
      </c>
      <c r="AB83" s="60">
        <f t="array" ref="AB83">IF($B83="","",IFERROR(IF(INDEX('02_DS_Nhan_Viec'!$I:$I,MATCH($B83,'02_DS_Nhan_Viec'!$B:$B,0))=0,"",INDEX('02_DS_Nhan_Viec'!$I:$I,MATCH($B83,'02_DS_Nhan_Viec'!$B:$B,0))),""))</f>
      </c>
      <c r="AC83" s="61">
        <f t="array" ref="AC83">IF($B83="","",IF($C83="","Đang theo dõi",IF(OR(IFERROR(INDEX('05_Theo_Doi_Gio_Cong_7_Ngay'!$R:$R,MATCH($C83,'05_Theo_Doi_Gio_Cong_7_Ngay'!$B:$B,0)),"")="",IFERROR(INDEX('05_Theo_Doi_Gio_Cong_7_Ngay'!$R:$R,MATCH($C83,'05_Theo_Doi_Gio_Cong_7_Ngay'!$B:$B,0)),0)=0),"Đang theo dõi",IFERROR(INDEX('06_DS_Chinh_Thuc'!$K:$K,MATCH(IFERROR(INDEX('05_Theo_Doi_Gio_Cong_7_Ngay'!$R:$R,MATCH($C83,'05_Theo_Doi_Gio_Cong_7_Ngay'!$B:$B,0)),0),'06_DS_Chinh_Thuc'!$B:$B,0)),"Đang theo dõi"))))</f>
      </c>
    </row>
    <row r="84" ht="14.25" customHeight="1" spans="1:29" x14ac:dyDescent="0.25">
      <c r="A84" s="52">
        <f t="shared" si="0"/>
      </c>
      <c r="B84" s="52">
        <f t="array" ref="B84">IFERROR(INDEX('02_DS_Nhan_Viec'!$B:$B,MATCH(83,'02_DS_Nhan_Viec'!$M:$M,0)),"")</f>
      </c>
      <c r="C84" s="52">
        <f t="array" ref="C84">IF($B84="","",IFERROR(IF(INDEX('02_DS_Nhan_Viec'!$J:$J,MATCH($B84,'02_DS_Nhan_Viec'!$B:$B,0))=0,"",INDEX('02_DS_Nhan_Viec'!$J:$J,MATCH($B84,'02_DS_Nhan_Viec'!$B:$B,0))),""))</f>
      </c>
      <c r="D84" s="52">
        <f t="array" ref="D84">IF($C84="","",IFERROR(IF(INDEX('05_Theo_Doi_Gio_Cong_7_Ngay'!$R:$R,MATCH($C84,'05_Theo_Doi_Gio_Cong_7_Ngay'!$B:$B,0))=0,"",INDEX('05_Theo_Doi_Gio_Cong_7_Ngay'!$R:$R,MATCH($C84,'05_Theo_Doi_Gio_Cong_7_Ngay'!$B:$B,0))),""))</f>
      </c>
      <c r="E84" s="60">
        <f t="array" ref="E84">IF($B84="","",IFERROR(IF(INDEX('01_UngVien_PhongVan'!$D:$D,MATCH($B84,'01_UngVien_PhongVan'!$B:$B,0))=0,"",INDEX('01_UngVien_PhongVan'!$D:$D,MATCH($B84,'01_UngVien_PhongVan'!$B:$B,0))),""))</f>
      </c>
      <c r="F84" s="52">
        <f t="array" ref="F84">IF($B84="","",IFERROR(IF(INDEX('01_UngVien_PhongVan'!$F:$F,MATCH($B84,'01_UngVien_PhongVan'!$B:$B,0))=0,"",INDEX('01_UngVien_PhongVan'!$F:$F,MATCH($B84,'01_UngVien_PhongVan'!$B:$B,0))),""))</f>
      </c>
      <c r="G84" s="72">
        <f t="array" ref="G84">IF($B84="","",IFERROR(IF(INDEX('01_UngVien_PhongVan'!$G:$G,MATCH($B84,'01_UngVien_PhongVan'!$B:$B,0))=0,"",INDEX('01_UngVien_PhongVan'!$G:$G,MATCH($B84,'01_UngVien_PhongVan'!$B:$B,0))),""))</f>
      </c>
      <c r="H84" s="52">
        <f t="array" ref="H84">IF($B84="","",IFERROR(IF(INDEX('01_UngVien_PhongVan'!$H:$H,MATCH($B84,'01_UngVien_PhongVan'!$B:$B,0))=0,"",INDEX('01_UngVien_PhongVan'!$H:$H,MATCH($B84,'01_UngVien_PhongVan'!$B:$B,0))),""))</f>
      </c>
      <c r="I84" s="60">
        <f t="array" ref="I84">IF($B84="","",IFERROR(IF(INDEX('01_UngVien_PhongVan'!$I:$I,MATCH($B84,'01_UngVien_PhongVan'!$B:$B,0))=0,"",INDEX('01_UngVien_PhongVan'!$I:$I,MATCH($B84,'01_UngVien_PhongVan'!$B:$B,0))),""))</f>
      </c>
      <c r="J84" s="60">
        <f t="array" ref="J84">IF($B84="","",IFERROR(IF(INDEX('01_UngVien_PhongVan'!$J:$J,MATCH($B84,'01_UngVien_PhongVan'!$B:$B,0))=0,"",INDEX('01_UngVien_PhongVan'!$J:$J,MATCH($B84,'01_UngVien_PhongVan'!$B:$B,0))),""))</f>
      </c>
      <c r="K84" s="73">
        <f t="array" ref="K84">IF($B84="","",IFERROR(IF(INDEX('01_UngVien_PhongVan'!$K:$K,MATCH($B84,'01_UngVien_PhongVan'!$B:$B,0))=0,"",INDEX('01_UngVien_PhongVan'!$K:$K,MATCH($B84,'01_UngVien_PhongVan'!$B:$B,0))),""))</f>
      </c>
      <c r="L84" s="60">
        <f t="array" ref="L84">IF($B84="","",IFERROR(IF(INDEX('01_UngVien_PhongVan'!$L:$L,MATCH($B84,'01_UngVien_PhongVan'!$B:$B,0))=0,"",INDEX('01_UngVien_PhongVan'!$L:$L,MATCH($B84,'01_UngVien_PhongVan'!$B:$B,0))),""))</f>
      </c>
      <c r="M84" s="60">
        <f t="array" ref="M84">IF($B84="","",IFERROR(IF(INDEX('01_UngVien_PhongVan'!$E:$E,MATCH($B84,'01_UngVien_PhongVan'!$B:$B,0))=0,"",INDEX('01_UngVien_PhongVan'!$E:$E,MATCH($B84,'01_UngVien_PhongVan'!$B:$B,0))),""))</f>
      </c>
      <c r="N84" s="60">
        <f t="array" ref="N84">IF($B84="","",IFERROR(IF(INDEX('01_UngVien_PhongVan'!$M:$M,MATCH($B84,'01_UngVien_PhongVan'!$B:$B,0))=0,"",INDEX('01_UngVien_PhongVan'!$M:$M,MATCH($B84,'01_UngVien_PhongVan'!$B:$B,0))),""))</f>
      </c>
      <c r="O84" s="60">
        <f t="array" ref="O84">IF($B84="","",IFERROR(IF(INDEX('01_UngVien_PhongVan'!$N:$N,MATCH($B84,'01_UngVien_PhongVan'!$B:$B,0))=0,"",INDEX('01_UngVien_PhongVan'!$N:$N,MATCH($B84,'01_UngVien_PhongVan'!$B:$B,0))),""))</f>
      </c>
      <c r="P84" s="60">
        <f t="array" ref="P84">IF($B84="","",IFERROR(IF(INDEX('01_UngVien_PhongVan'!$O:$O,MATCH($B84,'01_UngVien_PhongVan'!$B:$B,0))=0,"",INDEX('01_UngVien_PhongVan'!$O:$O,MATCH($B84,'01_UngVien_PhongVan'!$B:$B,0))),""))</f>
      </c>
      <c r="Q84" s="60">
        <f t="array" ref="Q84">IF($B84="","",IFERROR(IF(INDEX('01_UngVien_PhongVan'!$P:$P,MATCH($B84,'01_UngVien_PhongVan'!$B:$B,0))=0,"",INDEX('01_UngVien_PhongVan'!$P:$P,MATCH($B84,'01_UngVien_PhongVan'!$B:$B,0))),""))</f>
      </c>
      <c r="R84" s="60">
        <f t="array" ref="R84">IF($B84="","",IFERROR(IF(INDEX('01_UngVien_PhongVan'!$Q:$Q,MATCH($B84,'01_UngVien_PhongVan'!$B:$B,0))=0,"",INDEX('01_UngVien_PhongVan'!$Q:$Q,MATCH($B84,'01_UngVien_PhongVan'!$B:$B,0))),""))</f>
      </c>
      <c r="S84" s="60">
        <f t="array" ref="S84">IF($B84="","",IFERROR(IF(INDEX('01_UngVien_PhongVan'!$R:$R,MATCH($B84,'01_UngVien_PhongVan'!$B:$B,0))=0,"",INDEX('01_UngVien_PhongVan'!$R:$R,MATCH($B84,'01_UngVien_PhongVan'!$B:$B,0))),""))</f>
      </c>
      <c r="T84" s="60">
        <f t="array" ref="T84">IF($B84="","",IFERROR(IF(INDEX('01_UngVien_PhongVan'!$U:$U,MATCH($B84,'01_UngVien_PhongVan'!$B:$B,0))=0,"",INDEX('01_UngVien_PhongVan'!$U:$U,MATCH($B84,'01_UngVien_PhongVan'!$B:$B,0))),""))</f>
      </c>
      <c r="U84" s="73">
        <f t="array" ref="U84">IF($B84="","",IFERROR(IF(INDEX('01_UngVien_PhongVan'!$C:$C,MATCH($B84,'01_UngVien_PhongVan'!$B:$B,0))=0,"",INDEX('01_UngVien_PhongVan'!$C:$C,MATCH($B84,'01_UngVien_PhongVan'!$B:$B,0))),""))</f>
      </c>
      <c r="V84" s="73">
        <f t="array" ref="V84">IF($B84="","",IFERROR(IF(INDEX('02_DS_Nhan_Viec'!$D:$D,MATCH($B84,'02_DS_Nhan_Viec'!$B:$B,0))=0,"",INDEX('02_DS_Nhan_Viec'!$D:$D,MATCH($B84,'02_DS_Nhan_Viec'!$B:$B,0))),""))</f>
      </c>
      <c r="W84" s="73">
        <f t="array" ref="W84">IF($B84="","",IFERROR(IF(INDEX('02_DS_Nhan_Viec'!$E:$E,MATCH($B84,'02_DS_Nhan_Viec'!$B:$B,0))=0,"",INDEX('02_DS_Nhan_Viec'!$E:$E,MATCH($B84,'02_DS_Nhan_Viec'!$B:$B,0))),""))</f>
      </c>
      <c r="X84" s="73">
        <f t="array" ref="X84">IF($C84="","",IFERROR(IF(INDEX('05_Theo_Doi_Gio_Cong_7_Ngay'!$P:$P,MATCH($C84,'05_Theo_Doi_Gio_Cong_7_Ngay'!$B:$B,0))=0,"",INDEX('05_Theo_Doi_Gio_Cong_7_Ngay'!$P:$P,MATCH($C84,'05_Theo_Doi_Gio_Cong_7_Ngay'!$B:$B,0))),""))</f>
      </c>
      <c r="Y84" s="60">
        <f t="array" ref="Y84">IF($C84="","",IFERROR(IF(INDEX('05_Theo_Doi_Gio_Cong_7_Ngay'!$M:$M,MATCH($C84,'05_Theo_Doi_Gio_Cong_7_Ngay'!$B:$B,0))=0,"",INDEX('05_Theo_Doi_Gio_Cong_7_Ngay'!$M:$M,MATCH($C84,'05_Theo_Doi_Gio_Cong_7_Ngay'!$B:$B,0))),""))</f>
      </c>
      <c r="Z84" s="60">
        <f t="array" ref="Z84">IF($C84="","",IFERROR(IF(INDEX('05_Theo_Doi_Gio_Cong_7_Ngay'!$Q:$Q,MATCH($C84,'05_Theo_Doi_Gio_Cong_7_Ngay'!$B:$B,0))=0,"",INDEX('05_Theo_Doi_Gio_Cong_7_Ngay'!$Q:$Q,MATCH($C84,'05_Theo_Doi_Gio_Cong_7_Ngay'!$B:$B,0))),""))</f>
      </c>
      <c r="AA84" s="60">
        <f t="array" ref="AA84">IF($B84="","",IFERROR(IF(INDEX('02_DS_Nhan_Viec'!$H:$H,MATCH($B84,'02_DS_Nhan_Viec'!$B:$B,0))=0,"",INDEX('02_DS_Nhan_Viec'!$H:$H,MATCH($B84,'02_DS_Nhan_Viec'!$B:$B,0))),""))</f>
      </c>
      <c r="AB84" s="60">
        <f t="array" ref="AB84">IF($B84="","",IFERROR(IF(INDEX('02_DS_Nhan_Viec'!$I:$I,MATCH($B84,'02_DS_Nhan_Viec'!$B:$B,0))=0,"",INDEX('02_DS_Nhan_Viec'!$I:$I,MATCH($B84,'02_DS_Nhan_Viec'!$B:$B,0))),""))</f>
      </c>
      <c r="AC84" s="61">
        <f t="array" ref="AC84">IF($B84="","",IF($C84="","Đang theo dõi",IF(OR(IFERROR(INDEX('05_Theo_Doi_Gio_Cong_7_Ngay'!$R:$R,MATCH($C84,'05_Theo_Doi_Gio_Cong_7_Ngay'!$B:$B,0)),"")="",IFERROR(INDEX('05_Theo_Doi_Gio_Cong_7_Ngay'!$R:$R,MATCH($C84,'05_Theo_Doi_Gio_Cong_7_Ngay'!$B:$B,0)),0)=0),"Đang theo dõi",IFERROR(INDEX('06_DS_Chinh_Thuc'!$K:$K,MATCH(IFERROR(INDEX('05_Theo_Doi_Gio_Cong_7_Ngay'!$R:$R,MATCH($C84,'05_Theo_Doi_Gio_Cong_7_Ngay'!$B:$B,0)),0),'06_DS_Chinh_Thuc'!$B:$B,0)),"Đang theo dõi"))))</f>
      </c>
    </row>
    <row r="85" ht="14.25" customHeight="1" spans="1:29" x14ac:dyDescent="0.25">
      <c r="A85" s="52">
        <f t="shared" si="0"/>
      </c>
      <c r="B85" s="52">
        <f t="array" ref="B85">IFERROR(INDEX('02_DS_Nhan_Viec'!$B:$B,MATCH(84,'02_DS_Nhan_Viec'!$M:$M,0)),"")</f>
      </c>
      <c r="C85" s="52">
        <f t="array" ref="C85">IF($B85="","",IFERROR(IF(INDEX('02_DS_Nhan_Viec'!$J:$J,MATCH($B85,'02_DS_Nhan_Viec'!$B:$B,0))=0,"",INDEX('02_DS_Nhan_Viec'!$J:$J,MATCH($B85,'02_DS_Nhan_Viec'!$B:$B,0))),""))</f>
      </c>
      <c r="D85" s="52">
        <f t="array" ref="D85">IF($C85="","",IFERROR(IF(INDEX('05_Theo_Doi_Gio_Cong_7_Ngay'!$R:$R,MATCH($C85,'05_Theo_Doi_Gio_Cong_7_Ngay'!$B:$B,0))=0,"",INDEX('05_Theo_Doi_Gio_Cong_7_Ngay'!$R:$R,MATCH($C85,'05_Theo_Doi_Gio_Cong_7_Ngay'!$B:$B,0))),""))</f>
      </c>
      <c r="E85" s="60">
        <f t="array" ref="E85">IF($B85="","",IFERROR(IF(INDEX('01_UngVien_PhongVan'!$D:$D,MATCH($B85,'01_UngVien_PhongVan'!$B:$B,0))=0,"",INDEX('01_UngVien_PhongVan'!$D:$D,MATCH($B85,'01_UngVien_PhongVan'!$B:$B,0))),""))</f>
      </c>
      <c r="F85" s="52">
        <f t="array" ref="F85">IF($B85="","",IFERROR(IF(INDEX('01_UngVien_PhongVan'!$F:$F,MATCH($B85,'01_UngVien_PhongVan'!$B:$B,0))=0,"",INDEX('01_UngVien_PhongVan'!$F:$F,MATCH($B85,'01_UngVien_PhongVan'!$B:$B,0))),""))</f>
      </c>
      <c r="G85" s="72">
        <f t="array" ref="G85">IF($B85="","",IFERROR(IF(INDEX('01_UngVien_PhongVan'!$G:$G,MATCH($B85,'01_UngVien_PhongVan'!$B:$B,0))=0,"",INDEX('01_UngVien_PhongVan'!$G:$G,MATCH($B85,'01_UngVien_PhongVan'!$B:$B,0))),""))</f>
      </c>
      <c r="H85" s="52">
        <f t="array" ref="H85">IF($B85="","",IFERROR(IF(INDEX('01_UngVien_PhongVan'!$H:$H,MATCH($B85,'01_UngVien_PhongVan'!$B:$B,0))=0,"",INDEX('01_UngVien_PhongVan'!$H:$H,MATCH($B85,'01_UngVien_PhongVan'!$B:$B,0))),""))</f>
      </c>
      <c r="I85" s="60">
        <f t="array" ref="I85">IF($B85="","",IFERROR(IF(INDEX('01_UngVien_PhongVan'!$I:$I,MATCH($B85,'01_UngVien_PhongVan'!$B:$B,0))=0,"",INDEX('01_UngVien_PhongVan'!$I:$I,MATCH($B85,'01_UngVien_PhongVan'!$B:$B,0))),""))</f>
      </c>
      <c r="J85" s="60">
        <f t="array" ref="J85">IF($B85="","",IFERROR(IF(INDEX('01_UngVien_PhongVan'!$J:$J,MATCH($B85,'01_UngVien_PhongVan'!$B:$B,0))=0,"",INDEX('01_UngVien_PhongVan'!$J:$J,MATCH($B85,'01_UngVien_PhongVan'!$B:$B,0))),""))</f>
      </c>
      <c r="K85" s="73">
        <f t="array" ref="K85">IF($B85="","",IFERROR(IF(INDEX('01_UngVien_PhongVan'!$K:$K,MATCH($B85,'01_UngVien_PhongVan'!$B:$B,0))=0,"",INDEX('01_UngVien_PhongVan'!$K:$K,MATCH($B85,'01_UngVien_PhongVan'!$B:$B,0))),""))</f>
      </c>
      <c r="L85" s="60">
        <f t="array" ref="L85">IF($B85="","",IFERROR(IF(INDEX('01_UngVien_PhongVan'!$L:$L,MATCH($B85,'01_UngVien_PhongVan'!$B:$B,0))=0,"",INDEX('01_UngVien_PhongVan'!$L:$L,MATCH($B85,'01_UngVien_PhongVan'!$B:$B,0))),""))</f>
      </c>
      <c r="M85" s="60">
        <f t="array" ref="M85">IF($B85="","",IFERROR(IF(INDEX('01_UngVien_PhongVan'!$E:$E,MATCH($B85,'01_UngVien_PhongVan'!$B:$B,0))=0,"",INDEX('01_UngVien_PhongVan'!$E:$E,MATCH($B85,'01_UngVien_PhongVan'!$B:$B,0))),""))</f>
      </c>
      <c r="N85" s="60">
        <f t="array" ref="N85">IF($B85="","",IFERROR(IF(INDEX('01_UngVien_PhongVan'!$M:$M,MATCH($B85,'01_UngVien_PhongVan'!$B:$B,0))=0,"",INDEX('01_UngVien_PhongVan'!$M:$M,MATCH($B85,'01_UngVien_PhongVan'!$B:$B,0))),""))</f>
      </c>
      <c r="O85" s="60">
        <f t="array" ref="O85">IF($B85="","",IFERROR(IF(INDEX('01_UngVien_PhongVan'!$N:$N,MATCH($B85,'01_UngVien_PhongVan'!$B:$B,0))=0,"",INDEX('01_UngVien_PhongVan'!$N:$N,MATCH($B85,'01_UngVien_PhongVan'!$B:$B,0))),""))</f>
      </c>
      <c r="P85" s="60">
        <f t="array" ref="P85">IF($B85="","",IFERROR(IF(INDEX('01_UngVien_PhongVan'!$O:$O,MATCH($B85,'01_UngVien_PhongVan'!$B:$B,0))=0,"",INDEX('01_UngVien_PhongVan'!$O:$O,MATCH($B85,'01_UngVien_PhongVan'!$B:$B,0))),""))</f>
      </c>
      <c r="Q85" s="60">
        <f t="array" ref="Q85">IF($B85="","",IFERROR(IF(INDEX('01_UngVien_PhongVan'!$P:$P,MATCH($B85,'01_UngVien_PhongVan'!$B:$B,0))=0,"",INDEX('01_UngVien_PhongVan'!$P:$P,MATCH($B85,'01_UngVien_PhongVan'!$B:$B,0))),""))</f>
      </c>
      <c r="R85" s="60">
        <f t="array" ref="R85">IF($B85="","",IFERROR(IF(INDEX('01_UngVien_PhongVan'!$Q:$Q,MATCH($B85,'01_UngVien_PhongVan'!$B:$B,0))=0,"",INDEX('01_UngVien_PhongVan'!$Q:$Q,MATCH($B85,'01_UngVien_PhongVan'!$B:$B,0))),""))</f>
      </c>
      <c r="S85" s="60">
        <f t="array" ref="S85">IF($B85="","",IFERROR(IF(INDEX('01_UngVien_PhongVan'!$R:$R,MATCH($B85,'01_UngVien_PhongVan'!$B:$B,0))=0,"",INDEX('01_UngVien_PhongVan'!$R:$R,MATCH($B85,'01_UngVien_PhongVan'!$B:$B,0))),""))</f>
      </c>
      <c r="T85" s="60">
        <f t="array" ref="T85">IF($B85="","",IFERROR(IF(INDEX('01_UngVien_PhongVan'!$U:$U,MATCH($B85,'01_UngVien_PhongVan'!$B:$B,0))=0,"",INDEX('01_UngVien_PhongVan'!$U:$U,MATCH($B85,'01_UngVien_PhongVan'!$B:$B,0))),""))</f>
      </c>
      <c r="U85" s="73">
        <f t="array" ref="U85">IF($B85="","",IFERROR(IF(INDEX('01_UngVien_PhongVan'!$C:$C,MATCH($B85,'01_UngVien_PhongVan'!$B:$B,0))=0,"",INDEX('01_UngVien_PhongVan'!$C:$C,MATCH($B85,'01_UngVien_PhongVan'!$B:$B,0))),""))</f>
      </c>
      <c r="V85" s="73">
        <f t="array" ref="V85">IF($B85="","",IFERROR(IF(INDEX('02_DS_Nhan_Viec'!$D:$D,MATCH($B85,'02_DS_Nhan_Viec'!$B:$B,0))=0,"",INDEX('02_DS_Nhan_Viec'!$D:$D,MATCH($B85,'02_DS_Nhan_Viec'!$B:$B,0))),""))</f>
      </c>
      <c r="W85" s="73">
        <f t="array" ref="W85">IF($B85="","",IFERROR(IF(INDEX('02_DS_Nhan_Viec'!$E:$E,MATCH($B85,'02_DS_Nhan_Viec'!$B:$B,0))=0,"",INDEX('02_DS_Nhan_Viec'!$E:$E,MATCH($B85,'02_DS_Nhan_Viec'!$B:$B,0))),""))</f>
      </c>
      <c r="X85" s="73">
        <f t="array" ref="X85">IF($C85="","",IFERROR(IF(INDEX('05_Theo_Doi_Gio_Cong_7_Ngay'!$P:$P,MATCH($C85,'05_Theo_Doi_Gio_Cong_7_Ngay'!$B:$B,0))=0,"",INDEX('05_Theo_Doi_Gio_Cong_7_Ngay'!$P:$P,MATCH($C85,'05_Theo_Doi_Gio_Cong_7_Ngay'!$B:$B,0))),""))</f>
      </c>
      <c r="Y85" s="60">
        <f t="array" ref="Y85">IF($C85="","",IFERROR(IF(INDEX('05_Theo_Doi_Gio_Cong_7_Ngay'!$M:$M,MATCH($C85,'05_Theo_Doi_Gio_Cong_7_Ngay'!$B:$B,0))=0,"",INDEX('05_Theo_Doi_Gio_Cong_7_Ngay'!$M:$M,MATCH($C85,'05_Theo_Doi_Gio_Cong_7_Ngay'!$B:$B,0))),""))</f>
      </c>
      <c r="Z85" s="60">
        <f t="array" ref="Z85">IF($C85="","",IFERROR(IF(INDEX('05_Theo_Doi_Gio_Cong_7_Ngay'!$Q:$Q,MATCH($C85,'05_Theo_Doi_Gio_Cong_7_Ngay'!$B:$B,0))=0,"",INDEX('05_Theo_Doi_Gio_Cong_7_Ngay'!$Q:$Q,MATCH($C85,'05_Theo_Doi_Gio_Cong_7_Ngay'!$B:$B,0))),""))</f>
      </c>
      <c r="AA85" s="60">
        <f t="array" ref="AA85">IF($B85="","",IFERROR(IF(INDEX('02_DS_Nhan_Viec'!$H:$H,MATCH($B85,'02_DS_Nhan_Viec'!$B:$B,0))=0,"",INDEX('02_DS_Nhan_Viec'!$H:$H,MATCH($B85,'02_DS_Nhan_Viec'!$B:$B,0))),""))</f>
      </c>
      <c r="AB85" s="60">
        <f t="array" ref="AB85">IF($B85="","",IFERROR(IF(INDEX('02_DS_Nhan_Viec'!$I:$I,MATCH($B85,'02_DS_Nhan_Viec'!$B:$B,0))=0,"",INDEX('02_DS_Nhan_Viec'!$I:$I,MATCH($B85,'02_DS_Nhan_Viec'!$B:$B,0))),""))</f>
      </c>
      <c r="AC85" s="61">
        <f t="array" ref="AC85">IF($B85="","",IF($C85="","Đang theo dõi",IF(OR(IFERROR(INDEX('05_Theo_Doi_Gio_Cong_7_Ngay'!$R:$R,MATCH($C85,'05_Theo_Doi_Gio_Cong_7_Ngay'!$B:$B,0)),"")="",IFERROR(INDEX('05_Theo_Doi_Gio_Cong_7_Ngay'!$R:$R,MATCH($C85,'05_Theo_Doi_Gio_Cong_7_Ngay'!$B:$B,0)),0)=0),"Đang theo dõi",IFERROR(INDEX('06_DS_Chinh_Thuc'!$K:$K,MATCH(IFERROR(INDEX('05_Theo_Doi_Gio_Cong_7_Ngay'!$R:$R,MATCH($C85,'05_Theo_Doi_Gio_Cong_7_Ngay'!$B:$B,0)),0),'06_DS_Chinh_Thuc'!$B:$B,0)),"Đang theo dõi"))))</f>
      </c>
    </row>
    <row r="86" ht="14.25" customHeight="1" spans="1:29" x14ac:dyDescent="0.25">
      <c r="A86" s="52">
        <f t="shared" si="0"/>
      </c>
      <c r="B86" s="52">
        <f t="array" ref="B86">IFERROR(INDEX('02_DS_Nhan_Viec'!$B:$B,MATCH(85,'02_DS_Nhan_Viec'!$M:$M,0)),"")</f>
      </c>
      <c r="C86" s="52">
        <f t="array" ref="C86">IF($B86="","",IFERROR(IF(INDEX('02_DS_Nhan_Viec'!$J:$J,MATCH($B86,'02_DS_Nhan_Viec'!$B:$B,0))=0,"",INDEX('02_DS_Nhan_Viec'!$J:$J,MATCH($B86,'02_DS_Nhan_Viec'!$B:$B,0))),""))</f>
      </c>
      <c r="D86" s="52">
        <f t="array" ref="D86">IF($C86="","",IFERROR(IF(INDEX('05_Theo_Doi_Gio_Cong_7_Ngay'!$R:$R,MATCH($C86,'05_Theo_Doi_Gio_Cong_7_Ngay'!$B:$B,0))=0,"",INDEX('05_Theo_Doi_Gio_Cong_7_Ngay'!$R:$R,MATCH($C86,'05_Theo_Doi_Gio_Cong_7_Ngay'!$B:$B,0))),""))</f>
      </c>
      <c r="E86" s="60">
        <f t="array" ref="E86">IF($B86="","",IFERROR(IF(INDEX('01_UngVien_PhongVan'!$D:$D,MATCH($B86,'01_UngVien_PhongVan'!$B:$B,0))=0,"",INDEX('01_UngVien_PhongVan'!$D:$D,MATCH($B86,'01_UngVien_PhongVan'!$B:$B,0))),""))</f>
      </c>
      <c r="F86" s="52">
        <f t="array" ref="F86">IF($B86="","",IFERROR(IF(INDEX('01_UngVien_PhongVan'!$F:$F,MATCH($B86,'01_UngVien_PhongVan'!$B:$B,0))=0,"",INDEX('01_UngVien_PhongVan'!$F:$F,MATCH($B86,'01_UngVien_PhongVan'!$B:$B,0))),""))</f>
      </c>
      <c r="G86" s="72">
        <f t="array" ref="G86">IF($B86="","",IFERROR(IF(INDEX('01_UngVien_PhongVan'!$G:$G,MATCH($B86,'01_UngVien_PhongVan'!$B:$B,0))=0,"",INDEX('01_UngVien_PhongVan'!$G:$G,MATCH($B86,'01_UngVien_PhongVan'!$B:$B,0))),""))</f>
      </c>
      <c r="H86" s="52">
        <f t="array" ref="H86">IF($B86="","",IFERROR(IF(INDEX('01_UngVien_PhongVan'!$H:$H,MATCH($B86,'01_UngVien_PhongVan'!$B:$B,0))=0,"",INDEX('01_UngVien_PhongVan'!$H:$H,MATCH($B86,'01_UngVien_PhongVan'!$B:$B,0))),""))</f>
      </c>
      <c r="I86" s="60">
        <f t="array" ref="I86">IF($B86="","",IFERROR(IF(INDEX('01_UngVien_PhongVan'!$I:$I,MATCH($B86,'01_UngVien_PhongVan'!$B:$B,0))=0,"",INDEX('01_UngVien_PhongVan'!$I:$I,MATCH($B86,'01_UngVien_PhongVan'!$B:$B,0))),""))</f>
      </c>
      <c r="J86" s="60">
        <f t="array" ref="J86">IF($B86="","",IFERROR(IF(INDEX('01_UngVien_PhongVan'!$J:$J,MATCH($B86,'01_UngVien_PhongVan'!$B:$B,0))=0,"",INDEX('01_UngVien_PhongVan'!$J:$J,MATCH($B86,'01_UngVien_PhongVan'!$B:$B,0))),""))</f>
      </c>
      <c r="K86" s="73">
        <f t="array" ref="K86">IF($B86="","",IFERROR(IF(INDEX('01_UngVien_PhongVan'!$K:$K,MATCH($B86,'01_UngVien_PhongVan'!$B:$B,0))=0,"",INDEX('01_UngVien_PhongVan'!$K:$K,MATCH($B86,'01_UngVien_PhongVan'!$B:$B,0))),""))</f>
      </c>
      <c r="L86" s="60">
        <f t="array" ref="L86">IF($B86="","",IFERROR(IF(INDEX('01_UngVien_PhongVan'!$L:$L,MATCH($B86,'01_UngVien_PhongVan'!$B:$B,0))=0,"",INDEX('01_UngVien_PhongVan'!$L:$L,MATCH($B86,'01_UngVien_PhongVan'!$B:$B,0))),""))</f>
      </c>
      <c r="M86" s="60">
        <f t="array" ref="M86">IF($B86="","",IFERROR(IF(INDEX('01_UngVien_PhongVan'!$E:$E,MATCH($B86,'01_UngVien_PhongVan'!$B:$B,0))=0,"",INDEX('01_UngVien_PhongVan'!$E:$E,MATCH($B86,'01_UngVien_PhongVan'!$B:$B,0))),""))</f>
      </c>
      <c r="N86" s="60">
        <f t="array" ref="N86">IF($B86="","",IFERROR(IF(INDEX('01_UngVien_PhongVan'!$M:$M,MATCH($B86,'01_UngVien_PhongVan'!$B:$B,0))=0,"",INDEX('01_UngVien_PhongVan'!$M:$M,MATCH($B86,'01_UngVien_PhongVan'!$B:$B,0))),""))</f>
      </c>
      <c r="O86" s="60">
        <f t="array" ref="O86">IF($B86="","",IFERROR(IF(INDEX('01_UngVien_PhongVan'!$N:$N,MATCH($B86,'01_UngVien_PhongVan'!$B:$B,0))=0,"",INDEX('01_UngVien_PhongVan'!$N:$N,MATCH($B86,'01_UngVien_PhongVan'!$B:$B,0))),""))</f>
      </c>
      <c r="P86" s="60">
        <f t="array" ref="P86">IF($B86="","",IFERROR(IF(INDEX('01_UngVien_PhongVan'!$O:$O,MATCH($B86,'01_UngVien_PhongVan'!$B:$B,0))=0,"",INDEX('01_UngVien_PhongVan'!$O:$O,MATCH($B86,'01_UngVien_PhongVan'!$B:$B,0))),""))</f>
      </c>
      <c r="Q86" s="60">
        <f t="array" ref="Q86">IF($B86="","",IFERROR(IF(INDEX('01_UngVien_PhongVan'!$P:$P,MATCH($B86,'01_UngVien_PhongVan'!$B:$B,0))=0,"",INDEX('01_UngVien_PhongVan'!$P:$P,MATCH($B86,'01_UngVien_PhongVan'!$B:$B,0))),""))</f>
      </c>
      <c r="R86" s="60">
        <f t="array" ref="R86">IF($B86="","",IFERROR(IF(INDEX('01_UngVien_PhongVan'!$Q:$Q,MATCH($B86,'01_UngVien_PhongVan'!$B:$B,0))=0,"",INDEX('01_UngVien_PhongVan'!$Q:$Q,MATCH($B86,'01_UngVien_PhongVan'!$B:$B,0))),""))</f>
      </c>
      <c r="S86" s="60">
        <f t="array" ref="S86">IF($B86="","",IFERROR(IF(INDEX('01_UngVien_PhongVan'!$R:$R,MATCH($B86,'01_UngVien_PhongVan'!$B:$B,0))=0,"",INDEX('01_UngVien_PhongVan'!$R:$R,MATCH($B86,'01_UngVien_PhongVan'!$B:$B,0))),""))</f>
      </c>
      <c r="T86" s="60">
        <f t="array" ref="T86">IF($B86="","",IFERROR(IF(INDEX('01_UngVien_PhongVan'!$U:$U,MATCH($B86,'01_UngVien_PhongVan'!$B:$B,0))=0,"",INDEX('01_UngVien_PhongVan'!$U:$U,MATCH($B86,'01_UngVien_PhongVan'!$B:$B,0))),""))</f>
      </c>
      <c r="U86" s="73">
        <f t="array" ref="U86">IF($B86="","",IFERROR(IF(INDEX('01_UngVien_PhongVan'!$C:$C,MATCH($B86,'01_UngVien_PhongVan'!$B:$B,0))=0,"",INDEX('01_UngVien_PhongVan'!$C:$C,MATCH($B86,'01_UngVien_PhongVan'!$B:$B,0))),""))</f>
      </c>
      <c r="V86" s="73">
        <f t="array" ref="V86">IF($B86="","",IFERROR(IF(INDEX('02_DS_Nhan_Viec'!$D:$D,MATCH($B86,'02_DS_Nhan_Viec'!$B:$B,0))=0,"",INDEX('02_DS_Nhan_Viec'!$D:$D,MATCH($B86,'02_DS_Nhan_Viec'!$B:$B,0))),""))</f>
      </c>
      <c r="W86" s="73">
        <f t="array" ref="W86">IF($B86="","",IFERROR(IF(INDEX('02_DS_Nhan_Viec'!$E:$E,MATCH($B86,'02_DS_Nhan_Viec'!$B:$B,0))=0,"",INDEX('02_DS_Nhan_Viec'!$E:$E,MATCH($B86,'02_DS_Nhan_Viec'!$B:$B,0))),""))</f>
      </c>
      <c r="X86" s="73">
        <f t="array" ref="X86">IF($C86="","",IFERROR(IF(INDEX('05_Theo_Doi_Gio_Cong_7_Ngay'!$P:$P,MATCH($C86,'05_Theo_Doi_Gio_Cong_7_Ngay'!$B:$B,0))=0,"",INDEX('05_Theo_Doi_Gio_Cong_7_Ngay'!$P:$P,MATCH($C86,'05_Theo_Doi_Gio_Cong_7_Ngay'!$B:$B,0))),""))</f>
      </c>
      <c r="Y86" s="60">
        <f t="array" ref="Y86">IF($C86="","",IFERROR(IF(INDEX('05_Theo_Doi_Gio_Cong_7_Ngay'!$M:$M,MATCH($C86,'05_Theo_Doi_Gio_Cong_7_Ngay'!$B:$B,0))=0,"",INDEX('05_Theo_Doi_Gio_Cong_7_Ngay'!$M:$M,MATCH($C86,'05_Theo_Doi_Gio_Cong_7_Ngay'!$B:$B,0))),""))</f>
      </c>
      <c r="Z86" s="60">
        <f t="array" ref="Z86">IF($C86="","",IFERROR(IF(INDEX('05_Theo_Doi_Gio_Cong_7_Ngay'!$Q:$Q,MATCH($C86,'05_Theo_Doi_Gio_Cong_7_Ngay'!$B:$B,0))=0,"",INDEX('05_Theo_Doi_Gio_Cong_7_Ngay'!$Q:$Q,MATCH($C86,'05_Theo_Doi_Gio_Cong_7_Ngay'!$B:$B,0))),""))</f>
      </c>
      <c r="AA86" s="60">
        <f t="array" ref="AA86">IF($B86="","",IFERROR(IF(INDEX('02_DS_Nhan_Viec'!$H:$H,MATCH($B86,'02_DS_Nhan_Viec'!$B:$B,0))=0,"",INDEX('02_DS_Nhan_Viec'!$H:$H,MATCH($B86,'02_DS_Nhan_Viec'!$B:$B,0))),""))</f>
      </c>
      <c r="AB86" s="60">
        <f t="array" ref="AB86">IF($B86="","",IFERROR(IF(INDEX('02_DS_Nhan_Viec'!$I:$I,MATCH($B86,'02_DS_Nhan_Viec'!$B:$B,0))=0,"",INDEX('02_DS_Nhan_Viec'!$I:$I,MATCH($B86,'02_DS_Nhan_Viec'!$B:$B,0))),""))</f>
      </c>
      <c r="AC86" s="61">
        <f t="array" ref="AC86">IF($B86="","",IF($C86="","Đang theo dõi",IF(OR(IFERROR(INDEX('05_Theo_Doi_Gio_Cong_7_Ngay'!$R:$R,MATCH($C86,'05_Theo_Doi_Gio_Cong_7_Ngay'!$B:$B,0)),"")="",IFERROR(INDEX('05_Theo_Doi_Gio_Cong_7_Ngay'!$R:$R,MATCH($C86,'05_Theo_Doi_Gio_Cong_7_Ngay'!$B:$B,0)),0)=0),"Đang theo dõi",IFERROR(INDEX('06_DS_Chinh_Thuc'!$K:$K,MATCH(IFERROR(INDEX('05_Theo_Doi_Gio_Cong_7_Ngay'!$R:$R,MATCH($C86,'05_Theo_Doi_Gio_Cong_7_Ngay'!$B:$B,0)),0),'06_DS_Chinh_Thuc'!$B:$B,0)),"Đang theo dõi"))))</f>
      </c>
    </row>
    <row r="87" ht="14.25" customHeight="1" spans="1:29" x14ac:dyDescent="0.25">
      <c r="A87" s="52">
        <f t="shared" si="0"/>
      </c>
      <c r="B87" s="52">
        <f t="array" ref="B87">IFERROR(INDEX('02_DS_Nhan_Viec'!$B:$B,MATCH(86,'02_DS_Nhan_Viec'!$M:$M,0)),"")</f>
      </c>
      <c r="C87" s="52">
        <f t="array" ref="C87">IF($B87="","",IFERROR(IF(INDEX('02_DS_Nhan_Viec'!$J:$J,MATCH($B87,'02_DS_Nhan_Viec'!$B:$B,0))=0,"",INDEX('02_DS_Nhan_Viec'!$J:$J,MATCH($B87,'02_DS_Nhan_Viec'!$B:$B,0))),""))</f>
      </c>
      <c r="D87" s="52">
        <f t="array" ref="D87">IF($C87="","",IFERROR(IF(INDEX('05_Theo_Doi_Gio_Cong_7_Ngay'!$R:$R,MATCH($C87,'05_Theo_Doi_Gio_Cong_7_Ngay'!$B:$B,0))=0,"",INDEX('05_Theo_Doi_Gio_Cong_7_Ngay'!$R:$R,MATCH($C87,'05_Theo_Doi_Gio_Cong_7_Ngay'!$B:$B,0))),""))</f>
      </c>
      <c r="E87" s="60">
        <f t="array" ref="E87">IF($B87="","",IFERROR(IF(INDEX('01_UngVien_PhongVan'!$D:$D,MATCH($B87,'01_UngVien_PhongVan'!$B:$B,0))=0,"",INDEX('01_UngVien_PhongVan'!$D:$D,MATCH($B87,'01_UngVien_PhongVan'!$B:$B,0))),""))</f>
      </c>
      <c r="F87" s="52">
        <f t="array" ref="F87">IF($B87="","",IFERROR(IF(INDEX('01_UngVien_PhongVan'!$F:$F,MATCH($B87,'01_UngVien_PhongVan'!$B:$B,0))=0,"",INDEX('01_UngVien_PhongVan'!$F:$F,MATCH($B87,'01_UngVien_PhongVan'!$B:$B,0))),""))</f>
      </c>
      <c r="G87" s="72">
        <f t="array" ref="G87">IF($B87="","",IFERROR(IF(INDEX('01_UngVien_PhongVan'!$G:$G,MATCH($B87,'01_UngVien_PhongVan'!$B:$B,0))=0,"",INDEX('01_UngVien_PhongVan'!$G:$G,MATCH($B87,'01_UngVien_PhongVan'!$B:$B,0))),""))</f>
      </c>
      <c r="H87" s="52">
        <f t="array" ref="H87">IF($B87="","",IFERROR(IF(INDEX('01_UngVien_PhongVan'!$H:$H,MATCH($B87,'01_UngVien_PhongVan'!$B:$B,0))=0,"",INDEX('01_UngVien_PhongVan'!$H:$H,MATCH($B87,'01_UngVien_PhongVan'!$B:$B,0))),""))</f>
      </c>
      <c r="I87" s="60">
        <f t="array" ref="I87">IF($B87="","",IFERROR(IF(INDEX('01_UngVien_PhongVan'!$I:$I,MATCH($B87,'01_UngVien_PhongVan'!$B:$B,0))=0,"",INDEX('01_UngVien_PhongVan'!$I:$I,MATCH($B87,'01_UngVien_PhongVan'!$B:$B,0))),""))</f>
      </c>
      <c r="J87" s="60">
        <f t="array" ref="J87">IF($B87="","",IFERROR(IF(INDEX('01_UngVien_PhongVan'!$J:$J,MATCH($B87,'01_UngVien_PhongVan'!$B:$B,0))=0,"",INDEX('01_UngVien_PhongVan'!$J:$J,MATCH($B87,'01_UngVien_PhongVan'!$B:$B,0))),""))</f>
      </c>
      <c r="K87" s="73">
        <f t="array" ref="K87">IF($B87="","",IFERROR(IF(INDEX('01_UngVien_PhongVan'!$K:$K,MATCH($B87,'01_UngVien_PhongVan'!$B:$B,0))=0,"",INDEX('01_UngVien_PhongVan'!$K:$K,MATCH($B87,'01_UngVien_PhongVan'!$B:$B,0))),""))</f>
      </c>
      <c r="L87" s="60">
        <f t="array" ref="L87">IF($B87="","",IFERROR(IF(INDEX('01_UngVien_PhongVan'!$L:$L,MATCH($B87,'01_UngVien_PhongVan'!$B:$B,0))=0,"",INDEX('01_UngVien_PhongVan'!$L:$L,MATCH($B87,'01_UngVien_PhongVan'!$B:$B,0))),""))</f>
      </c>
      <c r="M87" s="60">
        <f t="array" ref="M87">IF($B87="","",IFERROR(IF(INDEX('01_UngVien_PhongVan'!$E:$E,MATCH($B87,'01_UngVien_PhongVan'!$B:$B,0))=0,"",INDEX('01_UngVien_PhongVan'!$E:$E,MATCH($B87,'01_UngVien_PhongVan'!$B:$B,0))),""))</f>
      </c>
      <c r="N87" s="60">
        <f t="array" ref="N87">IF($B87="","",IFERROR(IF(INDEX('01_UngVien_PhongVan'!$M:$M,MATCH($B87,'01_UngVien_PhongVan'!$B:$B,0))=0,"",INDEX('01_UngVien_PhongVan'!$M:$M,MATCH($B87,'01_UngVien_PhongVan'!$B:$B,0))),""))</f>
      </c>
      <c r="O87" s="60">
        <f t="array" ref="O87">IF($B87="","",IFERROR(IF(INDEX('01_UngVien_PhongVan'!$N:$N,MATCH($B87,'01_UngVien_PhongVan'!$B:$B,0))=0,"",INDEX('01_UngVien_PhongVan'!$N:$N,MATCH($B87,'01_UngVien_PhongVan'!$B:$B,0))),""))</f>
      </c>
      <c r="P87" s="60">
        <f t="array" ref="P87">IF($B87="","",IFERROR(IF(INDEX('01_UngVien_PhongVan'!$O:$O,MATCH($B87,'01_UngVien_PhongVan'!$B:$B,0))=0,"",INDEX('01_UngVien_PhongVan'!$O:$O,MATCH($B87,'01_UngVien_PhongVan'!$B:$B,0))),""))</f>
      </c>
      <c r="Q87" s="60">
        <f t="array" ref="Q87">IF($B87="","",IFERROR(IF(INDEX('01_UngVien_PhongVan'!$P:$P,MATCH($B87,'01_UngVien_PhongVan'!$B:$B,0))=0,"",INDEX('01_UngVien_PhongVan'!$P:$P,MATCH($B87,'01_UngVien_PhongVan'!$B:$B,0))),""))</f>
      </c>
      <c r="R87" s="60">
        <f t="array" ref="R87">IF($B87="","",IFERROR(IF(INDEX('01_UngVien_PhongVan'!$Q:$Q,MATCH($B87,'01_UngVien_PhongVan'!$B:$B,0))=0,"",INDEX('01_UngVien_PhongVan'!$Q:$Q,MATCH($B87,'01_UngVien_PhongVan'!$B:$B,0))),""))</f>
      </c>
      <c r="S87" s="60">
        <f t="array" ref="S87">IF($B87="","",IFERROR(IF(INDEX('01_UngVien_PhongVan'!$R:$R,MATCH($B87,'01_UngVien_PhongVan'!$B:$B,0))=0,"",INDEX('01_UngVien_PhongVan'!$R:$R,MATCH($B87,'01_UngVien_PhongVan'!$B:$B,0))),""))</f>
      </c>
      <c r="T87" s="60">
        <f t="array" ref="T87">IF($B87="","",IFERROR(IF(INDEX('01_UngVien_PhongVan'!$U:$U,MATCH($B87,'01_UngVien_PhongVan'!$B:$B,0))=0,"",INDEX('01_UngVien_PhongVan'!$U:$U,MATCH($B87,'01_UngVien_PhongVan'!$B:$B,0))),""))</f>
      </c>
      <c r="U87" s="73">
        <f t="array" ref="U87">IF($B87="","",IFERROR(IF(INDEX('01_UngVien_PhongVan'!$C:$C,MATCH($B87,'01_UngVien_PhongVan'!$B:$B,0))=0,"",INDEX('01_UngVien_PhongVan'!$C:$C,MATCH($B87,'01_UngVien_PhongVan'!$B:$B,0))),""))</f>
      </c>
      <c r="V87" s="73">
        <f t="array" ref="V87">IF($B87="","",IFERROR(IF(INDEX('02_DS_Nhan_Viec'!$D:$D,MATCH($B87,'02_DS_Nhan_Viec'!$B:$B,0))=0,"",INDEX('02_DS_Nhan_Viec'!$D:$D,MATCH($B87,'02_DS_Nhan_Viec'!$B:$B,0))),""))</f>
      </c>
      <c r="W87" s="73">
        <f t="array" ref="W87">IF($B87="","",IFERROR(IF(INDEX('02_DS_Nhan_Viec'!$E:$E,MATCH($B87,'02_DS_Nhan_Viec'!$B:$B,0))=0,"",INDEX('02_DS_Nhan_Viec'!$E:$E,MATCH($B87,'02_DS_Nhan_Viec'!$B:$B,0))),""))</f>
      </c>
      <c r="X87" s="73">
        <f t="array" ref="X87">IF($C87="","",IFERROR(IF(INDEX('05_Theo_Doi_Gio_Cong_7_Ngay'!$P:$P,MATCH($C87,'05_Theo_Doi_Gio_Cong_7_Ngay'!$B:$B,0))=0,"",INDEX('05_Theo_Doi_Gio_Cong_7_Ngay'!$P:$P,MATCH($C87,'05_Theo_Doi_Gio_Cong_7_Ngay'!$B:$B,0))),""))</f>
      </c>
      <c r="Y87" s="60">
        <f t="array" ref="Y87">IF($C87="","",IFERROR(IF(INDEX('05_Theo_Doi_Gio_Cong_7_Ngay'!$M:$M,MATCH($C87,'05_Theo_Doi_Gio_Cong_7_Ngay'!$B:$B,0))=0,"",INDEX('05_Theo_Doi_Gio_Cong_7_Ngay'!$M:$M,MATCH($C87,'05_Theo_Doi_Gio_Cong_7_Ngay'!$B:$B,0))),""))</f>
      </c>
      <c r="Z87" s="60">
        <f t="array" ref="Z87">IF($C87="","",IFERROR(IF(INDEX('05_Theo_Doi_Gio_Cong_7_Ngay'!$Q:$Q,MATCH($C87,'05_Theo_Doi_Gio_Cong_7_Ngay'!$B:$B,0))=0,"",INDEX('05_Theo_Doi_Gio_Cong_7_Ngay'!$Q:$Q,MATCH($C87,'05_Theo_Doi_Gio_Cong_7_Ngay'!$B:$B,0))),""))</f>
      </c>
      <c r="AA87" s="60">
        <f t="array" ref="AA87">IF($B87="","",IFERROR(IF(INDEX('02_DS_Nhan_Viec'!$H:$H,MATCH($B87,'02_DS_Nhan_Viec'!$B:$B,0))=0,"",INDEX('02_DS_Nhan_Viec'!$H:$H,MATCH($B87,'02_DS_Nhan_Viec'!$B:$B,0))),""))</f>
      </c>
      <c r="AB87" s="60">
        <f t="array" ref="AB87">IF($B87="","",IFERROR(IF(INDEX('02_DS_Nhan_Viec'!$I:$I,MATCH($B87,'02_DS_Nhan_Viec'!$B:$B,0))=0,"",INDEX('02_DS_Nhan_Viec'!$I:$I,MATCH($B87,'02_DS_Nhan_Viec'!$B:$B,0))),""))</f>
      </c>
      <c r="AC87" s="61">
        <f t="array" ref="AC87">IF($B87="","",IF($C87="","Đang theo dõi",IF(OR(IFERROR(INDEX('05_Theo_Doi_Gio_Cong_7_Ngay'!$R:$R,MATCH($C87,'05_Theo_Doi_Gio_Cong_7_Ngay'!$B:$B,0)),"")="",IFERROR(INDEX('05_Theo_Doi_Gio_Cong_7_Ngay'!$R:$R,MATCH($C87,'05_Theo_Doi_Gio_Cong_7_Ngay'!$B:$B,0)),0)=0),"Đang theo dõi",IFERROR(INDEX('06_DS_Chinh_Thuc'!$K:$K,MATCH(IFERROR(INDEX('05_Theo_Doi_Gio_Cong_7_Ngay'!$R:$R,MATCH($C87,'05_Theo_Doi_Gio_Cong_7_Ngay'!$B:$B,0)),0),'06_DS_Chinh_Thuc'!$B:$B,0)),"Đang theo dõi"))))</f>
      </c>
    </row>
    <row r="88" ht="14.25" customHeight="1" spans="1:29" x14ac:dyDescent="0.25">
      <c r="A88" s="52">
        <f t="shared" si="0"/>
      </c>
      <c r="B88" s="52">
        <f t="array" ref="B88">IFERROR(INDEX('02_DS_Nhan_Viec'!$B:$B,MATCH(87,'02_DS_Nhan_Viec'!$M:$M,0)),"")</f>
      </c>
      <c r="C88" s="52">
        <f t="array" ref="C88">IF($B88="","",IFERROR(IF(INDEX('02_DS_Nhan_Viec'!$J:$J,MATCH($B88,'02_DS_Nhan_Viec'!$B:$B,0))=0,"",INDEX('02_DS_Nhan_Viec'!$J:$J,MATCH($B88,'02_DS_Nhan_Viec'!$B:$B,0))),""))</f>
      </c>
      <c r="D88" s="52">
        <f t="array" ref="D88">IF($C88="","",IFERROR(IF(INDEX('05_Theo_Doi_Gio_Cong_7_Ngay'!$R:$R,MATCH($C88,'05_Theo_Doi_Gio_Cong_7_Ngay'!$B:$B,0))=0,"",INDEX('05_Theo_Doi_Gio_Cong_7_Ngay'!$R:$R,MATCH($C88,'05_Theo_Doi_Gio_Cong_7_Ngay'!$B:$B,0))),""))</f>
      </c>
      <c r="E88" s="60">
        <f t="array" ref="E88">IF($B88="","",IFERROR(IF(INDEX('01_UngVien_PhongVan'!$D:$D,MATCH($B88,'01_UngVien_PhongVan'!$B:$B,0))=0,"",INDEX('01_UngVien_PhongVan'!$D:$D,MATCH($B88,'01_UngVien_PhongVan'!$B:$B,0))),""))</f>
      </c>
      <c r="F88" s="52">
        <f t="array" ref="F88">IF($B88="","",IFERROR(IF(INDEX('01_UngVien_PhongVan'!$F:$F,MATCH($B88,'01_UngVien_PhongVan'!$B:$B,0))=0,"",INDEX('01_UngVien_PhongVan'!$F:$F,MATCH($B88,'01_UngVien_PhongVan'!$B:$B,0))),""))</f>
      </c>
      <c r="G88" s="72">
        <f t="array" ref="G88">IF($B88="","",IFERROR(IF(INDEX('01_UngVien_PhongVan'!$G:$G,MATCH($B88,'01_UngVien_PhongVan'!$B:$B,0))=0,"",INDEX('01_UngVien_PhongVan'!$G:$G,MATCH($B88,'01_UngVien_PhongVan'!$B:$B,0))),""))</f>
      </c>
      <c r="H88" s="52">
        <f t="array" ref="H88">IF($B88="","",IFERROR(IF(INDEX('01_UngVien_PhongVan'!$H:$H,MATCH($B88,'01_UngVien_PhongVan'!$B:$B,0))=0,"",INDEX('01_UngVien_PhongVan'!$H:$H,MATCH($B88,'01_UngVien_PhongVan'!$B:$B,0))),""))</f>
      </c>
      <c r="I88" s="60">
        <f t="array" ref="I88">IF($B88="","",IFERROR(IF(INDEX('01_UngVien_PhongVan'!$I:$I,MATCH($B88,'01_UngVien_PhongVan'!$B:$B,0))=0,"",INDEX('01_UngVien_PhongVan'!$I:$I,MATCH($B88,'01_UngVien_PhongVan'!$B:$B,0))),""))</f>
      </c>
      <c r="J88" s="60">
        <f t="array" ref="J88">IF($B88="","",IFERROR(IF(INDEX('01_UngVien_PhongVan'!$J:$J,MATCH($B88,'01_UngVien_PhongVan'!$B:$B,0))=0,"",INDEX('01_UngVien_PhongVan'!$J:$J,MATCH($B88,'01_UngVien_PhongVan'!$B:$B,0))),""))</f>
      </c>
      <c r="K88" s="73">
        <f t="array" ref="K88">IF($B88="","",IFERROR(IF(INDEX('01_UngVien_PhongVan'!$K:$K,MATCH($B88,'01_UngVien_PhongVan'!$B:$B,0))=0,"",INDEX('01_UngVien_PhongVan'!$K:$K,MATCH($B88,'01_UngVien_PhongVan'!$B:$B,0))),""))</f>
      </c>
      <c r="L88" s="60">
        <f t="array" ref="L88">IF($B88="","",IFERROR(IF(INDEX('01_UngVien_PhongVan'!$L:$L,MATCH($B88,'01_UngVien_PhongVan'!$B:$B,0))=0,"",INDEX('01_UngVien_PhongVan'!$L:$L,MATCH($B88,'01_UngVien_PhongVan'!$B:$B,0))),""))</f>
      </c>
      <c r="M88" s="60">
        <f t="array" ref="M88">IF($B88="","",IFERROR(IF(INDEX('01_UngVien_PhongVan'!$E:$E,MATCH($B88,'01_UngVien_PhongVan'!$B:$B,0))=0,"",INDEX('01_UngVien_PhongVan'!$E:$E,MATCH($B88,'01_UngVien_PhongVan'!$B:$B,0))),""))</f>
      </c>
      <c r="N88" s="60">
        <f t="array" ref="N88">IF($B88="","",IFERROR(IF(INDEX('01_UngVien_PhongVan'!$M:$M,MATCH($B88,'01_UngVien_PhongVan'!$B:$B,0))=0,"",INDEX('01_UngVien_PhongVan'!$M:$M,MATCH($B88,'01_UngVien_PhongVan'!$B:$B,0))),""))</f>
      </c>
      <c r="O88" s="60">
        <f t="array" ref="O88">IF($B88="","",IFERROR(IF(INDEX('01_UngVien_PhongVan'!$N:$N,MATCH($B88,'01_UngVien_PhongVan'!$B:$B,0))=0,"",INDEX('01_UngVien_PhongVan'!$N:$N,MATCH($B88,'01_UngVien_PhongVan'!$B:$B,0))),""))</f>
      </c>
      <c r="P88" s="60">
        <f t="array" ref="P88">IF($B88="","",IFERROR(IF(INDEX('01_UngVien_PhongVan'!$O:$O,MATCH($B88,'01_UngVien_PhongVan'!$B:$B,0))=0,"",INDEX('01_UngVien_PhongVan'!$O:$O,MATCH($B88,'01_UngVien_PhongVan'!$B:$B,0))),""))</f>
      </c>
      <c r="Q88" s="60">
        <f t="array" ref="Q88">IF($B88="","",IFERROR(IF(INDEX('01_UngVien_PhongVan'!$P:$P,MATCH($B88,'01_UngVien_PhongVan'!$B:$B,0))=0,"",INDEX('01_UngVien_PhongVan'!$P:$P,MATCH($B88,'01_UngVien_PhongVan'!$B:$B,0))),""))</f>
      </c>
      <c r="R88" s="60">
        <f t="array" ref="R88">IF($B88="","",IFERROR(IF(INDEX('01_UngVien_PhongVan'!$Q:$Q,MATCH($B88,'01_UngVien_PhongVan'!$B:$B,0))=0,"",INDEX('01_UngVien_PhongVan'!$Q:$Q,MATCH($B88,'01_UngVien_PhongVan'!$B:$B,0))),""))</f>
      </c>
      <c r="S88" s="60">
        <f t="array" ref="S88">IF($B88="","",IFERROR(IF(INDEX('01_UngVien_PhongVan'!$R:$R,MATCH($B88,'01_UngVien_PhongVan'!$B:$B,0))=0,"",INDEX('01_UngVien_PhongVan'!$R:$R,MATCH($B88,'01_UngVien_PhongVan'!$B:$B,0))),""))</f>
      </c>
      <c r="T88" s="60">
        <f t="array" ref="T88">IF($B88="","",IFERROR(IF(INDEX('01_UngVien_PhongVan'!$U:$U,MATCH($B88,'01_UngVien_PhongVan'!$B:$B,0))=0,"",INDEX('01_UngVien_PhongVan'!$U:$U,MATCH($B88,'01_UngVien_PhongVan'!$B:$B,0))),""))</f>
      </c>
      <c r="U88" s="73">
        <f t="array" ref="U88">IF($B88="","",IFERROR(IF(INDEX('01_UngVien_PhongVan'!$C:$C,MATCH($B88,'01_UngVien_PhongVan'!$B:$B,0))=0,"",INDEX('01_UngVien_PhongVan'!$C:$C,MATCH($B88,'01_UngVien_PhongVan'!$B:$B,0))),""))</f>
      </c>
      <c r="V88" s="73">
        <f t="array" ref="V88">IF($B88="","",IFERROR(IF(INDEX('02_DS_Nhan_Viec'!$D:$D,MATCH($B88,'02_DS_Nhan_Viec'!$B:$B,0))=0,"",INDEX('02_DS_Nhan_Viec'!$D:$D,MATCH($B88,'02_DS_Nhan_Viec'!$B:$B,0))),""))</f>
      </c>
      <c r="W88" s="73">
        <f t="array" ref="W88">IF($B88="","",IFERROR(IF(INDEX('02_DS_Nhan_Viec'!$E:$E,MATCH($B88,'02_DS_Nhan_Viec'!$B:$B,0))=0,"",INDEX('02_DS_Nhan_Viec'!$E:$E,MATCH($B88,'02_DS_Nhan_Viec'!$B:$B,0))),""))</f>
      </c>
      <c r="X88" s="73">
        <f t="array" ref="X88">IF($C88="","",IFERROR(IF(INDEX('05_Theo_Doi_Gio_Cong_7_Ngay'!$P:$P,MATCH($C88,'05_Theo_Doi_Gio_Cong_7_Ngay'!$B:$B,0))=0,"",INDEX('05_Theo_Doi_Gio_Cong_7_Ngay'!$P:$P,MATCH($C88,'05_Theo_Doi_Gio_Cong_7_Ngay'!$B:$B,0))),""))</f>
      </c>
      <c r="Y88" s="60">
        <f t="array" ref="Y88">IF($C88="","",IFERROR(IF(INDEX('05_Theo_Doi_Gio_Cong_7_Ngay'!$M:$M,MATCH($C88,'05_Theo_Doi_Gio_Cong_7_Ngay'!$B:$B,0))=0,"",INDEX('05_Theo_Doi_Gio_Cong_7_Ngay'!$M:$M,MATCH($C88,'05_Theo_Doi_Gio_Cong_7_Ngay'!$B:$B,0))),""))</f>
      </c>
      <c r="Z88" s="60">
        <f t="array" ref="Z88">IF($C88="","",IFERROR(IF(INDEX('05_Theo_Doi_Gio_Cong_7_Ngay'!$Q:$Q,MATCH($C88,'05_Theo_Doi_Gio_Cong_7_Ngay'!$B:$B,0))=0,"",INDEX('05_Theo_Doi_Gio_Cong_7_Ngay'!$Q:$Q,MATCH($C88,'05_Theo_Doi_Gio_Cong_7_Ngay'!$B:$B,0))),""))</f>
      </c>
      <c r="AA88" s="60">
        <f t="array" ref="AA88">IF($B88="","",IFERROR(IF(INDEX('02_DS_Nhan_Viec'!$H:$H,MATCH($B88,'02_DS_Nhan_Viec'!$B:$B,0))=0,"",INDEX('02_DS_Nhan_Viec'!$H:$H,MATCH($B88,'02_DS_Nhan_Viec'!$B:$B,0))),""))</f>
      </c>
      <c r="AB88" s="60">
        <f t="array" ref="AB88">IF($B88="","",IFERROR(IF(INDEX('02_DS_Nhan_Viec'!$I:$I,MATCH($B88,'02_DS_Nhan_Viec'!$B:$B,0))=0,"",INDEX('02_DS_Nhan_Viec'!$I:$I,MATCH($B88,'02_DS_Nhan_Viec'!$B:$B,0))),""))</f>
      </c>
      <c r="AC88" s="61">
        <f t="array" ref="AC88">IF($B88="","",IF($C88="","Đang theo dõi",IF(OR(IFERROR(INDEX('05_Theo_Doi_Gio_Cong_7_Ngay'!$R:$R,MATCH($C88,'05_Theo_Doi_Gio_Cong_7_Ngay'!$B:$B,0)),"")="",IFERROR(INDEX('05_Theo_Doi_Gio_Cong_7_Ngay'!$R:$R,MATCH($C88,'05_Theo_Doi_Gio_Cong_7_Ngay'!$B:$B,0)),0)=0),"Đang theo dõi",IFERROR(INDEX('06_DS_Chinh_Thuc'!$K:$K,MATCH(IFERROR(INDEX('05_Theo_Doi_Gio_Cong_7_Ngay'!$R:$R,MATCH($C88,'05_Theo_Doi_Gio_Cong_7_Ngay'!$B:$B,0)),0),'06_DS_Chinh_Thuc'!$B:$B,0)),"Đang theo dõi"))))</f>
      </c>
    </row>
    <row r="89" ht="14.25" customHeight="1" spans="1:29" x14ac:dyDescent="0.25">
      <c r="A89" s="52">
        <f t="shared" si="0"/>
      </c>
      <c r="B89" s="52">
        <f t="array" ref="B89">IFERROR(INDEX('02_DS_Nhan_Viec'!$B:$B,MATCH(88,'02_DS_Nhan_Viec'!$M:$M,0)),"")</f>
      </c>
      <c r="C89" s="52">
        <f t="array" ref="C89">IF($B89="","",IFERROR(IF(INDEX('02_DS_Nhan_Viec'!$J:$J,MATCH($B89,'02_DS_Nhan_Viec'!$B:$B,0))=0,"",INDEX('02_DS_Nhan_Viec'!$J:$J,MATCH($B89,'02_DS_Nhan_Viec'!$B:$B,0))),""))</f>
      </c>
      <c r="D89" s="52">
        <f t="array" ref="D89">IF($C89="","",IFERROR(IF(INDEX('05_Theo_Doi_Gio_Cong_7_Ngay'!$R:$R,MATCH($C89,'05_Theo_Doi_Gio_Cong_7_Ngay'!$B:$B,0))=0,"",INDEX('05_Theo_Doi_Gio_Cong_7_Ngay'!$R:$R,MATCH($C89,'05_Theo_Doi_Gio_Cong_7_Ngay'!$B:$B,0))),""))</f>
      </c>
      <c r="E89" s="60">
        <f t="array" ref="E89">IF($B89="","",IFERROR(IF(INDEX('01_UngVien_PhongVan'!$D:$D,MATCH($B89,'01_UngVien_PhongVan'!$B:$B,0))=0,"",INDEX('01_UngVien_PhongVan'!$D:$D,MATCH($B89,'01_UngVien_PhongVan'!$B:$B,0))),""))</f>
      </c>
      <c r="F89" s="52">
        <f t="array" ref="F89">IF($B89="","",IFERROR(IF(INDEX('01_UngVien_PhongVan'!$F:$F,MATCH($B89,'01_UngVien_PhongVan'!$B:$B,0))=0,"",INDEX('01_UngVien_PhongVan'!$F:$F,MATCH($B89,'01_UngVien_PhongVan'!$B:$B,0))),""))</f>
      </c>
      <c r="G89" s="72">
        <f t="array" ref="G89">IF($B89="","",IFERROR(IF(INDEX('01_UngVien_PhongVan'!$G:$G,MATCH($B89,'01_UngVien_PhongVan'!$B:$B,0))=0,"",INDEX('01_UngVien_PhongVan'!$G:$G,MATCH($B89,'01_UngVien_PhongVan'!$B:$B,0))),""))</f>
      </c>
      <c r="H89" s="52">
        <f t="array" ref="H89">IF($B89="","",IFERROR(IF(INDEX('01_UngVien_PhongVan'!$H:$H,MATCH($B89,'01_UngVien_PhongVan'!$B:$B,0))=0,"",INDEX('01_UngVien_PhongVan'!$H:$H,MATCH($B89,'01_UngVien_PhongVan'!$B:$B,0))),""))</f>
      </c>
      <c r="I89" s="60">
        <f t="array" ref="I89">IF($B89="","",IFERROR(IF(INDEX('01_UngVien_PhongVan'!$I:$I,MATCH($B89,'01_UngVien_PhongVan'!$B:$B,0))=0,"",INDEX('01_UngVien_PhongVan'!$I:$I,MATCH($B89,'01_UngVien_PhongVan'!$B:$B,0))),""))</f>
      </c>
      <c r="J89" s="60">
        <f t="array" ref="J89">IF($B89="","",IFERROR(IF(INDEX('01_UngVien_PhongVan'!$J:$J,MATCH($B89,'01_UngVien_PhongVan'!$B:$B,0))=0,"",INDEX('01_UngVien_PhongVan'!$J:$J,MATCH($B89,'01_UngVien_PhongVan'!$B:$B,0))),""))</f>
      </c>
      <c r="K89" s="73">
        <f t="array" ref="K89">IF($B89="","",IFERROR(IF(INDEX('01_UngVien_PhongVan'!$K:$K,MATCH($B89,'01_UngVien_PhongVan'!$B:$B,0))=0,"",INDEX('01_UngVien_PhongVan'!$K:$K,MATCH($B89,'01_UngVien_PhongVan'!$B:$B,0))),""))</f>
      </c>
      <c r="L89" s="60">
        <f t="array" ref="L89">IF($B89="","",IFERROR(IF(INDEX('01_UngVien_PhongVan'!$L:$L,MATCH($B89,'01_UngVien_PhongVan'!$B:$B,0))=0,"",INDEX('01_UngVien_PhongVan'!$L:$L,MATCH($B89,'01_UngVien_PhongVan'!$B:$B,0))),""))</f>
      </c>
      <c r="M89" s="60">
        <f t="array" ref="M89">IF($B89="","",IFERROR(IF(INDEX('01_UngVien_PhongVan'!$E:$E,MATCH($B89,'01_UngVien_PhongVan'!$B:$B,0))=0,"",INDEX('01_UngVien_PhongVan'!$E:$E,MATCH($B89,'01_UngVien_PhongVan'!$B:$B,0))),""))</f>
      </c>
      <c r="N89" s="60">
        <f t="array" ref="N89">IF($B89="","",IFERROR(IF(INDEX('01_UngVien_PhongVan'!$M:$M,MATCH($B89,'01_UngVien_PhongVan'!$B:$B,0))=0,"",INDEX('01_UngVien_PhongVan'!$M:$M,MATCH($B89,'01_UngVien_PhongVan'!$B:$B,0))),""))</f>
      </c>
      <c r="O89" s="60">
        <f t="array" ref="O89">IF($B89="","",IFERROR(IF(INDEX('01_UngVien_PhongVan'!$N:$N,MATCH($B89,'01_UngVien_PhongVan'!$B:$B,0))=0,"",INDEX('01_UngVien_PhongVan'!$N:$N,MATCH($B89,'01_UngVien_PhongVan'!$B:$B,0))),""))</f>
      </c>
      <c r="P89" s="60">
        <f t="array" ref="P89">IF($B89="","",IFERROR(IF(INDEX('01_UngVien_PhongVan'!$O:$O,MATCH($B89,'01_UngVien_PhongVan'!$B:$B,0))=0,"",INDEX('01_UngVien_PhongVan'!$O:$O,MATCH($B89,'01_UngVien_PhongVan'!$B:$B,0))),""))</f>
      </c>
      <c r="Q89" s="60">
        <f t="array" ref="Q89">IF($B89="","",IFERROR(IF(INDEX('01_UngVien_PhongVan'!$P:$P,MATCH($B89,'01_UngVien_PhongVan'!$B:$B,0))=0,"",INDEX('01_UngVien_PhongVan'!$P:$P,MATCH($B89,'01_UngVien_PhongVan'!$B:$B,0))),""))</f>
      </c>
      <c r="R89" s="60">
        <f t="array" ref="R89">IF($B89="","",IFERROR(IF(INDEX('01_UngVien_PhongVan'!$Q:$Q,MATCH($B89,'01_UngVien_PhongVan'!$B:$B,0))=0,"",INDEX('01_UngVien_PhongVan'!$Q:$Q,MATCH($B89,'01_UngVien_PhongVan'!$B:$B,0))),""))</f>
      </c>
      <c r="S89" s="60">
        <f t="array" ref="S89">IF($B89="","",IFERROR(IF(INDEX('01_UngVien_PhongVan'!$R:$R,MATCH($B89,'01_UngVien_PhongVan'!$B:$B,0))=0,"",INDEX('01_UngVien_PhongVan'!$R:$R,MATCH($B89,'01_UngVien_PhongVan'!$B:$B,0))),""))</f>
      </c>
      <c r="T89" s="60">
        <f t="array" ref="T89">IF($B89="","",IFERROR(IF(INDEX('01_UngVien_PhongVan'!$U:$U,MATCH($B89,'01_UngVien_PhongVan'!$B:$B,0))=0,"",INDEX('01_UngVien_PhongVan'!$U:$U,MATCH($B89,'01_UngVien_PhongVan'!$B:$B,0))),""))</f>
      </c>
      <c r="U89" s="73">
        <f t="array" ref="U89">IF($B89="","",IFERROR(IF(INDEX('01_UngVien_PhongVan'!$C:$C,MATCH($B89,'01_UngVien_PhongVan'!$B:$B,0))=0,"",INDEX('01_UngVien_PhongVan'!$C:$C,MATCH($B89,'01_UngVien_PhongVan'!$B:$B,0))),""))</f>
      </c>
      <c r="V89" s="73">
        <f t="array" ref="V89">IF($B89="","",IFERROR(IF(INDEX('02_DS_Nhan_Viec'!$D:$D,MATCH($B89,'02_DS_Nhan_Viec'!$B:$B,0))=0,"",INDEX('02_DS_Nhan_Viec'!$D:$D,MATCH($B89,'02_DS_Nhan_Viec'!$B:$B,0))),""))</f>
      </c>
      <c r="W89" s="73">
        <f t="array" ref="W89">IF($B89="","",IFERROR(IF(INDEX('02_DS_Nhan_Viec'!$E:$E,MATCH($B89,'02_DS_Nhan_Viec'!$B:$B,0))=0,"",INDEX('02_DS_Nhan_Viec'!$E:$E,MATCH($B89,'02_DS_Nhan_Viec'!$B:$B,0))),""))</f>
      </c>
      <c r="X89" s="73">
        <f t="array" ref="X89">IF($C89="","",IFERROR(IF(INDEX('05_Theo_Doi_Gio_Cong_7_Ngay'!$P:$P,MATCH($C89,'05_Theo_Doi_Gio_Cong_7_Ngay'!$B:$B,0))=0,"",INDEX('05_Theo_Doi_Gio_Cong_7_Ngay'!$P:$P,MATCH($C89,'05_Theo_Doi_Gio_Cong_7_Ngay'!$B:$B,0))),""))</f>
      </c>
      <c r="Y89" s="60">
        <f t="array" ref="Y89">IF($C89="","",IFERROR(IF(INDEX('05_Theo_Doi_Gio_Cong_7_Ngay'!$M:$M,MATCH($C89,'05_Theo_Doi_Gio_Cong_7_Ngay'!$B:$B,0))=0,"",INDEX('05_Theo_Doi_Gio_Cong_7_Ngay'!$M:$M,MATCH($C89,'05_Theo_Doi_Gio_Cong_7_Ngay'!$B:$B,0))),""))</f>
      </c>
      <c r="Z89" s="60">
        <f t="array" ref="Z89">IF($C89="","",IFERROR(IF(INDEX('05_Theo_Doi_Gio_Cong_7_Ngay'!$Q:$Q,MATCH($C89,'05_Theo_Doi_Gio_Cong_7_Ngay'!$B:$B,0))=0,"",INDEX('05_Theo_Doi_Gio_Cong_7_Ngay'!$Q:$Q,MATCH($C89,'05_Theo_Doi_Gio_Cong_7_Ngay'!$B:$B,0))),""))</f>
      </c>
      <c r="AA89" s="60">
        <f t="array" ref="AA89">IF($B89="","",IFERROR(IF(INDEX('02_DS_Nhan_Viec'!$H:$H,MATCH($B89,'02_DS_Nhan_Viec'!$B:$B,0))=0,"",INDEX('02_DS_Nhan_Viec'!$H:$H,MATCH($B89,'02_DS_Nhan_Viec'!$B:$B,0))),""))</f>
      </c>
      <c r="AB89" s="60">
        <f t="array" ref="AB89">IF($B89="","",IFERROR(IF(INDEX('02_DS_Nhan_Viec'!$I:$I,MATCH($B89,'02_DS_Nhan_Viec'!$B:$B,0))=0,"",INDEX('02_DS_Nhan_Viec'!$I:$I,MATCH($B89,'02_DS_Nhan_Viec'!$B:$B,0))),""))</f>
      </c>
      <c r="AC89" s="61">
        <f t="array" ref="AC89">IF($B89="","",IF($C89="","Đang theo dõi",IF(OR(IFERROR(INDEX('05_Theo_Doi_Gio_Cong_7_Ngay'!$R:$R,MATCH($C89,'05_Theo_Doi_Gio_Cong_7_Ngay'!$B:$B,0)),"")="",IFERROR(INDEX('05_Theo_Doi_Gio_Cong_7_Ngay'!$R:$R,MATCH($C89,'05_Theo_Doi_Gio_Cong_7_Ngay'!$B:$B,0)),0)=0),"Đang theo dõi",IFERROR(INDEX('06_DS_Chinh_Thuc'!$K:$K,MATCH(IFERROR(INDEX('05_Theo_Doi_Gio_Cong_7_Ngay'!$R:$R,MATCH($C89,'05_Theo_Doi_Gio_Cong_7_Ngay'!$B:$B,0)),0),'06_DS_Chinh_Thuc'!$B:$B,0)),"Đang theo dõi"))))</f>
      </c>
    </row>
    <row r="90" ht="14.25" customHeight="1" spans="1:29" x14ac:dyDescent="0.25">
      <c r="A90" s="52">
        <f t="shared" si="0"/>
      </c>
      <c r="B90" s="52">
        <f t="array" ref="B90">IFERROR(INDEX('02_DS_Nhan_Viec'!$B:$B,MATCH(89,'02_DS_Nhan_Viec'!$M:$M,0)),"")</f>
      </c>
      <c r="C90" s="52">
        <f t="array" ref="C90">IF($B90="","",IFERROR(IF(INDEX('02_DS_Nhan_Viec'!$J:$J,MATCH($B90,'02_DS_Nhan_Viec'!$B:$B,0))=0,"",INDEX('02_DS_Nhan_Viec'!$J:$J,MATCH($B90,'02_DS_Nhan_Viec'!$B:$B,0))),""))</f>
      </c>
      <c r="D90" s="52">
        <f t="array" ref="D90">IF($C90="","",IFERROR(IF(INDEX('05_Theo_Doi_Gio_Cong_7_Ngay'!$R:$R,MATCH($C90,'05_Theo_Doi_Gio_Cong_7_Ngay'!$B:$B,0))=0,"",INDEX('05_Theo_Doi_Gio_Cong_7_Ngay'!$R:$R,MATCH($C90,'05_Theo_Doi_Gio_Cong_7_Ngay'!$B:$B,0))),""))</f>
      </c>
      <c r="E90" s="60">
        <f t="array" ref="E90">IF($B90="","",IFERROR(IF(INDEX('01_UngVien_PhongVan'!$D:$D,MATCH($B90,'01_UngVien_PhongVan'!$B:$B,0))=0,"",INDEX('01_UngVien_PhongVan'!$D:$D,MATCH($B90,'01_UngVien_PhongVan'!$B:$B,0))),""))</f>
      </c>
      <c r="F90" s="52">
        <f t="array" ref="F90">IF($B90="","",IFERROR(IF(INDEX('01_UngVien_PhongVan'!$F:$F,MATCH($B90,'01_UngVien_PhongVan'!$B:$B,0))=0,"",INDEX('01_UngVien_PhongVan'!$F:$F,MATCH($B90,'01_UngVien_PhongVan'!$B:$B,0))),""))</f>
      </c>
      <c r="G90" s="72">
        <f t="array" ref="G90">IF($B90="","",IFERROR(IF(INDEX('01_UngVien_PhongVan'!$G:$G,MATCH($B90,'01_UngVien_PhongVan'!$B:$B,0))=0,"",INDEX('01_UngVien_PhongVan'!$G:$G,MATCH($B90,'01_UngVien_PhongVan'!$B:$B,0))),""))</f>
      </c>
      <c r="H90" s="52">
        <f t="array" ref="H90">IF($B90="","",IFERROR(IF(INDEX('01_UngVien_PhongVan'!$H:$H,MATCH($B90,'01_UngVien_PhongVan'!$B:$B,0))=0,"",INDEX('01_UngVien_PhongVan'!$H:$H,MATCH($B90,'01_UngVien_PhongVan'!$B:$B,0))),""))</f>
      </c>
      <c r="I90" s="60">
        <f t="array" ref="I90">IF($B90="","",IFERROR(IF(INDEX('01_UngVien_PhongVan'!$I:$I,MATCH($B90,'01_UngVien_PhongVan'!$B:$B,0))=0,"",INDEX('01_UngVien_PhongVan'!$I:$I,MATCH($B90,'01_UngVien_PhongVan'!$B:$B,0))),""))</f>
      </c>
      <c r="J90" s="60">
        <f t="array" ref="J90">IF($B90="","",IFERROR(IF(INDEX('01_UngVien_PhongVan'!$J:$J,MATCH($B90,'01_UngVien_PhongVan'!$B:$B,0))=0,"",INDEX('01_UngVien_PhongVan'!$J:$J,MATCH($B90,'01_UngVien_PhongVan'!$B:$B,0))),""))</f>
      </c>
      <c r="K90" s="73">
        <f t="array" ref="K90">IF($B90="","",IFERROR(IF(INDEX('01_UngVien_PhongVan'!$K:$K,MATCH($B90,'01_UngVien_PhongVan'!$B:$B,0))=0,"",INDEX('01_UngVien_PhongVan'!$K:$K,MATCH($B90,'01_UngVien_PhongVan'!$B:$B,0))),""))</f>
      </c>
      <c r="L90" s="60">
        <f t="array" ref="L90">IF($B90="","",IFERROR(IF(INDEX('01_UngVien_PhongVan'!$L:$L,MATCH($B90,'01_UngVien_PhongVan'!$B:$B,0))=0,"",INDEX('01_UngVien_PhongVan'!$L:$L,MATCH($B90,'01_UngVien_PhongVan'!$B:$B,0))),""))</f>
      </c>
      <c r="M90" s="60">
        <f t="array" ref="M90">IF($B90="","",IFERROR(IF(INDEX('01_UngVien_PhongVan'!$E:$E,MATCH($B90,'01_UngVien_PhongVan'!$B:$B,0))=0,"",INDEX('01_UngVien_PhongVan'!$E:$E,MATCH($B90,'01_UngVien_PhongVan'!$B:$B,0))),""))</f>
      </c>
      <c r="N90" s="60">
        <f t="array" ref="N90">IF($B90="","",IFERROR(IF(INDEX('01_UngVien_PhongVan'!$M:$M,MATCH($B90,'01_UngVien_PhongVan'!$B:$B,0))=0,"",INDEX('01_UngVien_PhongVan'!$M:$M,MATCH($B90,'01_UngVien_PhongVan'!$B:$B,0))),""))</f>
      </c>
      <c r="O90" s="60">
        <f t="array" ref="O90">IF($B90="","",IFERROR(IF(INDEX('01_UngVien_PhongVan'!$N:$N,MATCH($B90,'01_UngVien_PhongVan'!$B:$B,0))=0,"",INDEX('01_UngVien_PhongVan'!$N:$N,MATCH($B90,'01_UngVien_PhongVan'!$B:$B,0))),""))</f>
      </c>
      <c r="P90" s="60">
        <f t="array" ref="P90">IF($B90="","",IFERROR(IF(INDEX('01_UngVien_PhongVan'!$O:$O,MATCH($B90,'01_UngVien_PhongVan'!$B:$B,0))=0,"",INDEX('01_UngVien_PhongVan'!$O:$O,MATCH($B90,'01_UngVien_PhongVan'!$B:$B,0))),""))</f>
      </c>
      <c r="Q90" s="60">
        <f t="array" ref="Q90">IF($B90="","",IFERROR(IF(INDEX('01_UngVien_PhongVan'!$P:$P,MATCH($B90,'01_UngVien_PhongVan'!$B:$B,0))=0,"",INDEX('01_UngVien_PhongVan'!$P:$P,MATCH($B90,'01_UngVien_PhongVan'!$B:$B,0))),""))</f>
      </c>
      <c r="R90" s="60">
        <f t="array" ref="R90">IF($B90="","",IFERROR(IF(INDEX('01_UngVien_PhongVan'!$Q:$Q,MATCH($B90,'01_UngVien_PhongVan'!$B:$B,0))=0,"",INDEX('01_UngVien_PhongVan'!$Q:$Q,MATCH($B90,'01_UngVien_PhongVan'!$B:$B,0))),""))</f>
      </c>
      <c r="S90" s="60">
        <f t="array" ref="S90">IF($B90="","",IFERROR(IF(INDEX('01_UngVien_PhongVan'!$R:$R,MATCH($B90,'01_UngVien_PhongVan'!$B:$B,0))=0,"",INDEX('01_UngVien_PhongVan'!$R:$R,MATCH($B90,'01_UngVien_PhongVan'!$B:$B,0))),""))</f>
      </c>
      <c r="T90" s="60">
        <f t="array" ref="T90">IF($B90="","",IFERROR(IF(INDEX('01_UngVien_PhongVan'!$U:$U,MATCH($B90,'01_UngVien_PhongVan'!$B:$B,0))=0,"",INDEX('01_UngVien_PhongVan'!$U:$U,MATCH($B90,'01_UngVien_PhongVan'!$B:$B,0))),""))</f>
      </c>
      <c r="U90" s="73">
        <f t="array" ref="U90">IF($B90="","",IFERROR(IF(INDEX('01_UngVien_PhongVan'!$C:$C,MATCH($B90,'01_UngVien_PhongVan'!$B:$B,0))=0,"",INDEX('01_UngVien_PhongVan'!$C:$C,MATCH($B90,'01_UngVien_PhongVan'!$B:$B,0))),""))</f>
      </c>
      <c r="V90" s="73">
        <f t="array" ref="V90">IF($B90="","",IFERROR(IF(INDEX('02_DS_Nhan_Viec'!$D:$D,MATCH($B90,'02_DS_Nhan_Viec'!$B:$B,0))=0,"",INDEX('02_DS_Nhan_Viec'!$D:$D,MATCH($B90,'02_DS_Nhan_Viec'!$B:$B,0))),""))</f>
      </c>
      <c r="W90" s="73">
        <f t="array" ref="W90">IF($B90="","",IFERROR(IF(INDEX('02_DS_Nhan_Viec'!$E:$E,MATCH($B90,'02_DS_Nhan_Viec'!$B:$B,0))=0,"",INDEX('02_DS_Nhan_Viec'!$E:$E,MATCH($B90,'02_DS_Nhan_Viec'!$B:$B,0))),""))</f>
      </c>
      <c r="X90" s="73">
        <f t="array" ref="X90">IF($C90="","",IFERROR(IF(INDEX('05_Theo_Doi_Gio_Cong_7_Ngay'!$P:$P,MATCH($C90,'05_Theo_Doi_Gio_Cong_7_Ngay'!$B:$B,0))=0,"",INDEX('05_Theo_Doi_Gio_Cong_7_Ngay'!$P:$P,MATCH($C90,'05_Theo_Doi_Gio_Cong_7_Ngay'!$B:$B,0))),""))</f>
      </c>
      <c r="Y90" s="60">
        <f t="array" ref="Y90">IF($C90="","",IFERROR(IF(INDEX('05_Theo_Doi_Gio_Cong_7_Ngay'!$M:$M,MATCH($C90,'05_Theo_Doi_Gio_Cong_7_Ngay'!$B:$B,0))=0,"",INDEX('05_Theo_Doi_Gio_Cong_7_Ngay'!$M:$M,MATCH($C90,'05_Theo_Doi_Gio_Cong_7_Ngay'!$B:$B,0))),""))</f>
      </c>
      <c r="Z90" s="60">
        <f t="array" ref="Z90">IF($C90="","",IFERROR(IF(INDEX('05_Theo_Doi_Gio_Cong_7_Ngay'!$Q:$Q,MATCH($C90,'05_Theo_Doi_Gio_Cong_7_Ngay'!$B:$B,0))=0,"",INDEX('05_Theo_Doi_Gio_Cong_7_Ngay'!$Q:$Q,MATCH($C90,'05_Theo_Doi_Gio_Cong_7_Ngay'!$B:$B,0))),""))</f>
      </c>
      <c r="AA90" s="60">
        <f t="array" ref="AA90">IF($B90="","",IFERROR(IF(INDEX('02_DS_Nhan_Viec'!$H:$H,MATCH($B90,'02_DS_Nhan_Viec'!$B:$B,0))=0,"",INDEX('02_DS_Nhan_Viec'!$H:$H,MATCH($B90,'02_DS_Nhan_Viec'!$B:$B,0))),""))</f>
      </c>
      <c r="AB90" s="60">
        <f t="array" ref="AB90">IF($B90="","",IFERROR(IF(INDEX('02_DS_Nhan_Viec'!$I:$I,MATCH($B90,'02_DS_Nhan_Viec'!$B:$B,0))=0,"",INDEX('02_DS_Nhan_Viec'!$I:$I,MATCH($B90,'02_DS_Nhan_Viec'!$B:$B,0))),""))</f>
      </c>
      <c r="AC90" s="61">
        <f t="array" ref="AC90">IF($B90="","",IF($C90="","Đang theo dõi",IF(OR(IFERROR(INDEX('05_Theo_Doi_Gio_Cong_7_Ngay'!$R:$R,MATCH($C90,'05_Theo_Doi_Gio_Cong_7_Ngay'!$B:$B,0)),"")="",IFERROR(INDEX('05_Theo_Doi_Gio_Cong_7_Ngay'!$R:$R,MATCH($C90,'05_Theo_Doi_Gio_Cong_7_Ngay'!$B:$B,0)),0)=0),"Đang theo dõi",IFERROR(INDEX('06_DS_Chinh_Thuc'!$K:$K,MATCH(IFERROR(INDEX('05_Theo_Doi_Gio_Cong_7_Ngay'!$R:$R,MATCH($C90,'05_Theo_Doi_Gio_Cong_7_Ngay'!$B:$B,0)),0),'06_DS_Chinh_Thuc'!$B:$B,0)),"Đang theo dõi"))))</f>
      </c>
    </row>
    <row r="91" ht="14.25" customHeight="1" spans="1:29" x14ac:dyDescent="0.25">
      <c r="A91" s="52">
        <f t="shared" si="0"/>
      </c>
      <c r="B91" s="52">
        <f t="array" ref="B91">IFERROR(INDEX('02_DS_Nhan_Viec'!$B:$B,MATCH(90,'02_DS_Nhan_Viec'!$M:$M,0)),"")</f>
      </c>
      <c r="C91" s="52">
        <f t="array" ref="C91">IF($B91="","",IFERROR(IF(INDEX('02_DS_Nhan_Viec'!$J:$J,MATCH($B91,'02_DS_Nhan_Viec'!$B:$B,0))=0,"",INDEX('02_DS_Nhan_Viec'!$J:$J,MATCH($B91,'02_DS_Nhan_Viec'!$B:$B,0))),""))</f>
      </c>
      <c r="D91" s="52">
        <f t="array" ref="D91">IF($C91="","",IFERROR(IF(INDEX('05_Theo_Doi_Gio_Cong_7_Ngay'!$R:$R,MATCH($C91,'05_Theo_Doi_Gio_Cong_7_Ngay'!$B:$B,0))=0,"",INDEX('05_Theo_Doi_Gio_Cong_7_Ngay'!$R:$R,MATCH($C91,'05_Theo_Doi_Gio_Cong_7_Ngay'!$B:$B,0))),""))</f>
      </c>
      <c r="E91" s="60">
        <f t="array" ref="E91">IF($B91="","",IFERROR(IF(INDEX('01_UngVien_PhongVan'!$D:$D,MATCH($B91,'01_UngVien_PhongVan'!$B:$B,0))=0,"",INDEX('01_UngVien_PhongVan'!$D:$D,MATCH($B91,'01_UngVien_PhongVan'!$B:$B,0))),""))</f>
      </c>
      <c r="F91" s="52">
        <f t="array" ref="F91">IF($B91="","",IFERROR(IF(INDEX('01_UngVien_PhongVan'!$F:$F,MATCH($B91,'01_UngVien_PhongVan'!$B:$B,0))=0,"",INDEX('01_UngVien_PhongVan'!$F:$F,MATCH($B91,'01_UngVien_PhongVan'!$B:$B,0))),""))</f>
      </c>
      <c r="G91" s="72">
        <f t="array" ref="G91">IF($B91="","",IFERROR(IF(INDEX('01_UngVien_PhongVan'!$G:$G,MATCH($B91,'01_UngVien_PhongVan'!$B:$B,0))=0,"",INDEX('01_UngVien_PhongVan'!$G:$G,MATCH($B91,'01_UngVien_PhongVan'!$B:$B,0))),""))</f>
      </c>
      <c r="H91" s="52">
        <f t="array" ref="H91">IF($B91="","",IFERROR(IF(INDEX('01_UngVien_PhongVan'!$H:$H,MATCH($B91,'01_UngVien_PhongVan'!$B:$B,0))=0,"",INDEX('01_UngVien_PhongVan'!$H:$H,MATCH($B91,'01_UngVien_PhongVan'!$B:$B,0))),""))</f>
      </c>
      <c r="I91" s="60">
        <f t="array" ref="I91">IF($B91="","",IFERROR(IF(INDEX('01_UngVien_PhongVan'!$I:$I,MATCH($B91,'01_UngVien_PhongVan'!$B:$B,0))=0,"",INDEX('01_UngVien_PhongVan'!$I:$I,MATCH($B91,'01_UngVien_PhongVan'!$B:$B,0))),""))</f>
      </c>
      <c r="J91" s="60">
        <f t="array" ref="J91">IF($B91="","",IFERROR(IF(INDEX('01_UngVien_PhongVan'!$J:$J,MATCH($B91,'01_UngVien_PhongVan'!$B:$B,0))=0,"",INDEX('01_UngVien_PhongVan'!$J:$J,MATCH($B91,'01_UngVien_PhongVan'!$B:$B,0))),""))</f>
      </c>
      <c r="K91" s="73">
        <f t="array" ref="K91">IF($B91="","",IFERROR(IF(INDEX('01_UngVien_PhongVan'!$K:$K,MATCH($B91,'01_UngVien_PhongVan'!$B:$B,0))=0,"",INDEX('01_UngVien_PhongVan'!$K:$K,MATCH($B91,'01_UngVien_PhongVan'!$B:$B,0))),""))</f>
      </c>
      <c r="L91" s="60">
        <f t="array" ref="L91">IF($B91="","",IFERROR(IF(INDEX('01_UngVien_PhongVan'!$L:$L,MATCH($B91,'01_UngVien_PhongVan'!$B:$B,0))=0,"",INDEX('01_UngVien_PhongVan'!$L:$L,MATCH($B91,'01_UngVien_PhongVan'!$B:$B,0))),""))</f>
      </c>
      <c r="M91" s="60">
        <f t="array" ref="M91">IF($B91="","",IFERROR(IF(INDEX('01_UngVien_PhongVan'!$E:$E,MATCH($B91,'01_UngVien_PhongVan'!$B:$B,0))=0,"",INDEX('01_UngVien_PhongVan'!$E:$E,MATCH($B91,'01_UngVien_PhongVan'!$B:$B,0))),""))</f>
      </c>
      <c r="N91" s="60">
        <f t="array" ref="N91">IF($B91="","",IFERROR(IF(INDEX('01_UngVien_PhongVan'!$M:$M,MATCH($B91,'01_UngVien_PhongVan'!$B:$B,0))=0,"",INDEX('01_UngVien_PhongVan'!$M:$M,MATCH($B91,'01_UngVien_PhongVan'!$B:$B,0))),""))</f>
      </c>
      <c r="O91" s="60">
        <f t="array" ref="O91">IF($B91="","",IFERROR(IF(INDEX('01_UngVien_PhongVan'!$N:$N,MATCH($B91,'01_UngVien_PhongVan'!$B:$B,0))=0,"",INDEX('01_UngVien_PhongVan'!$N:$N,MATCH($B91,'01_UngVien_PhongVan'!$B:$B,0))),""))</f>
      </c>
      <c r="P91" s="60">
        <f t="array" ref="P91">IF($B91="","",IFERROR(IF(INDEX('01_UngVien_PhongVan'!$O:$O,MATCH($B91,'01_UngVien_PhongVan'!$B:$B,0))=0,"",INDEX('01_UngVien_PhongVan'!$O:$O,MATCH($B91,'01_UngVien_PhongVan'!$B:$B,0))),""))</f>
      </c>
      <c r="Q91" s="60">
        <f t="array" ref="Q91">IF($B91="","",IFERROR(IF(INDEX('01_UngVien_PhongVan'!$P:$P,MATCH($B91,'01_UngVien_PhongVan'!$B:$B,0))=0,"",INDEX('01_UngVien_PhongVan'!$P:$P,MATCH($B91,'01_UngVien_PhongVan'!$B:$B,0))),""))</f>
      </c>
      <c r="R91" s="60">
        <f t="array" ref="R91">IF($B91="","",IFERROR(IF(INDEX('01_UngVien_PhongVan'!$Q:$Q,MATCH($B91,'01_UngVien_PhongVan'!$B:$B,0))=0,"",INDEX('01_UngVien_PhongVan'!$Q:$Q,MATCH($B91,'01_UngVien_PhongVan'!$B:$B,0))),""))</f>
      </c>
      <c r="S91" s="60">
        <f t="array" ref="S91">IF($B91="","",IFERROR(IF(INDEX('01_UngVien_PhongVan'!$R:$R,MATCH($B91,'01_UngVien_PhongVan'!$B:$B,0))=0,"",INDEX('01_UngVien_PhongVan'!$R:$R,MATCH($B91,'01_UngVien_PhongVan'!$B:$B,0))),""))</f>
      </c>
      <c r="T91" s="60">
        <f t="array" ref="T91">IF($B91="","",IFERROR(IF(INDEX('01_UngVien_PhongVan'!$U:$U,MATCH($B91,'01_UngVien_PhongVan'!$B:$B,0))=0,"",INDEX('01_UngVien_PhongVan'!$U:$U,MATCH($B91,'01_UngVien_PhongVan'!$B:$B,0))),""))</f>
      </c>
      <c r="U91" s="73">
        <f t="array" ref="U91">IF($B91="","",IFERROR(IF(INDEX('01_UngVien_PhongVan'!$C:$C,MATCH($B91,'01_UngVien_PhongVan'!$B:$B,0))=0,"",INDEX('01_UngVien_PhongVan'!$C:$C,MATCH($B91,'01_UngVien_PhongVan'!$B:$B,0))),""))</f>
      </c>
      <c r="V91" s="73">
        <f t="array" ref="V91">IF($B91="","",IFERROR(IF(INDEX('02_DS_Nhan_Viec'!$D:$D,MATCH($B91,'02_DS_Nhan_Viec'!$B:$B,0))=0,"",INDEX('02_DS_Nhan_Viec'!$D:$D,MATCH($B91,'02_DS_Nhan_Viec'!$B:$B,0))),""))</f>
      </c>
      <c r="W91" s="73">
        <f t="array" ref="W91">IF($B91="","",IFERROR(IF(INDEX('02_DS_Nhan_Viec'!$E:$E,MATCH($B91,'02_DS_Nhan_Viec'!$B:$B,0))=0,"",INDEX('02_DS_Nhan_Viec'!$E:$E,MATCH($B91,'02_DS_Nhan_Viec'!$B:$B,0))),""))</f>
      </c>
      <c r="X91" s="73">
        <f t="array" ref="X91">IF($C91="","",IFERROR(IF(INDEX('05_Theo_Doi_Gio_Cong_7_Ngay'!$P:$P,MATCH($C91,'05_Theo_Doi_Gio_Cong_7_Ngay'!$B:$B,0))=0,"",INDEX('05_Theo_Doi_Gio_Cong_7_Ngay'!$P:$P,MATCH($C91,'05_Theo_Doi_Gio_Cong_7_Ngay'!$B:$B,0))),""))</f>
      </c>
      <c r="Y91" s="60">
        <f t="array" ref="Y91">IF($C91="","",IFERROR(IF(INDEX('05_Theo_Doi_Gio_Cong_7_Ngay'!$M:$M,MATCH($C91,'05_Theo_Doi_Gio_Cong_7_Ngay'!$B:$B,0))=0,"",INDEX('05_Theo_Doi_Gio_Cong_7_Ngay'!$M:$M,MATCH($C91,'05_Theo_Doi_Gio_Cong_7_Ngay'!$B:$B,0))),""))</f>
      </c>
      <c r="Z91" s="60">
        <f t="array" ref="Z91">IF($C91="","",IFERROR(IF(INDEX('05_Theo_Doi_Gio_Cong_7_Ngay'!$Q:$Q,MATCH($C91,'05_Theo_Doi_Gio_Cong_7_Ngay'!$B:$B,0))=0,"",INDEX('05_Theo_Doi_Gio_Cong_7_Ngay'!$Q:$Q,MATCH($C91,'05_Theo_Doi_Gio_Cong_7_Ngay'!$B:$B,0))),""))</f>
      </c>
      <c r="AA91" s="60">
        <f t="array" ref="AA91">IF($B91="","",IFERROR(IF(INDEX('02_DS_Nhan_Viec'!$H:$H,MATCH($B91,'02_DS_Nhan_Viec'!$B:$B,0))=0,"",INDEX('02_DS_Nhan_Viec'!$H:$H,MATCH($B91,'02_DS_Nhan_Viec'!$B:$B,0))),""))</f>
      </c>
      <c r="AB91" s="60">
        <f t="array" ref="AB91">IF($B91="","",IFERROR(IF(INDEX('02_DS_Nhan_Viec'!$I:$I,MATCH($B91,'02_DS_Nhan_Viec'!$B:$B,0))=0,"",INDEX('02_DS_Nhan_Viec'!$I:$I,MATCH($B91,'02_DS_Nhan_Viec'!$B:$B,0))),""))</f>
      </c>
      <c r="AC91" s="61">
        <f t="array" ref="AC91">IF($B91="","",IF($C91="","Đang theo dõi",IF(OR(IFERROR(INDEX('05_Theo_Doi_Gio_Cong_7_Ngay'!$R:$R,MATCH($C91,'05_Theo_Doi_Gio_Cong_7_Ngay'!$B:$B,0)),"")="",IFERROR(INDEX('05_Theo_Doi_Gio_Cong_7_Ngay'!$R:$R,MATCH($C91,'05_Theo_Doi_Gio_Cong_7_Ngay'!$B:$B,0)),0)=0),"Đang theo dõi",IFERROR(INDEX('06_DS_Chinh_Thuc'!$K:$K,MATCH(IFERROR(INDEX('05_Theo_Doi_Gio_Cong_7_Ngay'!$R:$R,MATCH($C91,'05_Theo_Doi_Gio_Cong_7_Ngay'!$B:$B,0)),0),'06_DS_Chinh_Thuc'!$B:$B,0)),"Đang theo dõi"))))</f>
      </c>
    </row>
    <row r="92" ht="14.25" customHeight="1" spans="1:29" x14ac:dyDescent="0.25">
      <c r="A92" s="52">
        <f t="shared" si="0"/>
      </c>
      <c r="B92" s="52">
        <f t="array" ref="B92">IFERROR(INDEX('02_DS_Nhan_Viec'!$B:$B,MATCH(91,'02_DS_Nhan_Viec'!$M:$M,0)),"")</f>
      </c>
      <c r="C92" s="52">
        <f t="array" ref="C92">IF($B92="","",IFERROR(IF(INDEX('02_DS_Nhan_Viec'!$J:$J,MATCH($B92,'02_DS_Nhan_Viec'!$B:$B,0))=0,"",INDEX('02_DS_Nhan_Viec'!$J:$J,MATCH($B92,'02_DS_Nhan_Viec'!$B:$B,0))),""))</f>
      </c>
      <c r="D92" s="52">
        <f t="array" ref="D92">IF($C92="","",IFERROR(IF(INDEX('05_Theo_Doi_Gio_Cong_7_Ngay'!$R:$R,MATCH($C92,'05_Theo_Doi_Gio_Cong_7_Ngay'!$B:$B,0))=0,"",INDEX('05_Theo_Doi_Gio_Cong_7_Ngay'!$R:$R,MATCH($C92,'05_Theo_Doi_Gio_Cong_7_Ngay'!$B:$B,0))),""))</f>
      </c>
      <c r="E92" s="60">
        <f t="array" ref="E92">IF($B92="","",IFERROR(IF(INDEX('01_UngVien_PhongVan'!$D:$D,MATCH($B92,'01_UngVien_PhongVan'!$B:$B,0))=0,"",INDEX('01_UngVien_PhongVan'!$D:$D,MATCH($B92,'01_UngVien_PhongVan'!$B:$B,0))),""))</f>
      </c>
      <c r="F92" s="52">
        <f t="array" ref="F92">IF($B92="","",IFERROR(IF(INDEX('01_UngVien_PhongVan'!$F:$F,MATCH($B92,'01_UngVien_PhongVan'!$B:$B,0))=0,"",INDEX('01_UngVien_PhongVan'!$F:$F,MATCH($B92,'01_UngVien_PhongVan'!$B:$B,0))),""))</f>
      </c>
      <c r="G92" s="72">
        <f t="array" ref="G92">IF($B92="","",IFERROR(IF(INDEX('01_UngVien_PhongVan'!$G:$G,MATCH($B92,'01_UngVien_PhongVan'!$B:$B,0))=0,"",INDEX('01_UngVien_PhongVan'!$G:$G,MATCH($B92,'01_UngVien_PhongVan'!$B:$B,0))),""))</f>
      </c>
      <c r="H92" s="52">
        <f t="array" ref="H92">IF($B92="","",IFERROR(IF(INDEX('01_UngVien_PhongVan'!$H:$H,MATCH($B92,'01_UngVien_PhongVan'!$B:$B,0))=0,"",INDEX('01_UngVien_PhongVan'!$H:$H,MATCH($B92,'01_UngVien_PhongVan'!$B:$B,0))),""))</f>
      </c>
      <c r="I92" s="60">
        <f t="array" ref="I92">IF($B92="","",IFERROR(IF(INDEX('01_UngVien_PhongVan'!$I:$I,MATCH($B92,'01_UngVien_PhongVan'!$B:$B,0))=0,"",INDEX('01_UngVien_PhongVan'!$I:$I,MATCH($B92,'01_UngVien_PhongVan'!$B:$B,0))),""))</f>
      </c>
      <c r="J92" s="60">
        <f t="array" ref="J92">IF($B92="","",IFERROR(IF(INDEX('01_UngVien_PhongVan'!$J:$J,MATCH($B92,'01_UngVien_PhongVan'!$B:$B,0))=0,"",INDEX('01_UngVien_PhongVan'!$J:$J,MATCH($B92,'01_UngVien_PhongVan'!$B:$B,0))),""))</f>
      </c>
      <c r="K92" s="73">
        <f t="array" ref="K92">IF($B92="","",IFERROR(IF(INDEX('01_UngVien_PhongVan'!$K:$K,MATCH($B92,'01_UngVien_PhongVan'!$B:$B,0))=0,"",INDEX('01_UngVien_PhongVan'!$K:$K,MATCH($B92,'01_UngVien_PhongVan'!$B:$B,0))),""))</f>
      </c>
      <c r="L92" s="60">
        <f t="array" ref="L92">IF($B92="","",IFERROR(IF(INDEX('01_UngVien_PhongVan'!$L:$L,MATCH($B92,'01_UngVien_PhongVan'!$B:$B,0))=0,"",INDEX('01_UngVien_PhongVan'!$L:$L,MATCH($B92,'01_UngVien_PhongVan'!$B:$B,0))),""))</f>
      </c>
      <c r="M92" s="60">
        <f t="array" ref="M92">IF($B92="","",IFERROR(IF(INDEX('01_UngVien_PhongVan'!$E:$E,MATCH($B92,'01_UngVien_PhongVan'!$B:$B,0))=0,"",INDEX('01_UngVien_PhongVan'!$E:$E,MATCH($B92,'01_UngVien_PhongVan'!$B:$B,0))),""))</f>
      </c>
      <c r="N92" s="60">
        <f t="array" ref="N92">IF($B92="","",IFERROR(IF(INDEX('01_UngVien_PhongVan'!$M:$M,MATCH($B92,'01_UngVien_PhongVan'!$B:$B,0))=0,"",INDEX('01_UngVien_PhongVan'!$M:$M,MATCH($B92,'01_UngVien_PhongVan'!$B:$B,0))),""))</f>
      </c>
      <c r="O92" s="60">
        <f t="array" ref="O92">IF($B92="","",IFERROR(IF(INDEX('01_UngVien_PhongVan'!$N:$N,MATCH($B92,'01_UngVien_PhongVan'!$B:$B,0))=0,"",INDEX('01_UngVien_PhongVan'!$N:$N,MATCH($B92,'01_UngVien_PhongVan'!$B:$B,0))),""))</f>
      </c>
      <c r="P92" s="60">
        <f t="array" ref="P92">IF($B92="","",IFERROR(IF(INDEX('01_UngVien_PhongVan'!$O:$O,MATCH($B92,'01_UngVien_PhongVan'!$B:$B,0))=0,"",INDEX('01_UngVien_PhongVan'!$O:$O,MATCH($B92,'01_UngVien_PhongVan'!$B:$B,0))),""))</f>
      </c>
      <c r="Q92" s="60">
        <f t="array" ref="Q92">IF($B92="","",IFERROR(IF(INDEX('01_UngVien_PhongVan'!$P:$P,MATCH($B92,'01_UngVien_PhongVan'!$B:$B,0))=0,"",INDEX('01_UngVien_PhongVan'!$P:$P,MATCH($B92,'01_UngVien_PhongVan'!$B:$B,0))),""))</f>
      </c>
      <c r="R92" s="60">
        <f t="array" ref="R92">IF($B92="","",IFERROR(IF(INDEX('01_UngVien_PhongVan'!$Q:$Q,MATCH($B92,'01_UngVien_PhongVan'!$B:$B,0))=0,"",INDEX('01_UngVien_PhongVan'!$Q:$Q,MATCH($B92,'01_UngVien_PhongVan'!$B:$B,0))),""))</f>
      </c>
      <c r="S92" s="60">
        <f t="array" ref="S92">IF($B92="","",IFERROR(IF(INDEX('01_UngVien_PhongVan'!$R:$R,MATCH($B92,'01_UngVien_PhongVan'!$B:$B,0))=0,"",INDEX('01_UngVien_PhongVan'!$R:$R,MATCH($B92,'01_UngVien_PhongVan'!$B:$B,0))),""))</f>
      </c>
      <c r="T92" s="60">
        <f t="array" ref="T92">IF($B92="","",IFERROR(IF(INDEX('01_UngVien_PhongVan'!$U:$U,MATCH($B92,'01_UngVien_PhongVan'!$B:$B,0))=0,"",INDEX('01_UngVien_PhongVan'!$U:$U,MATCH($B92,'01_UngVien_PhongVan'!$B:$B,0))),""))</f>
      </c>
      <c r="U92" s="73">
        <f t="array" ref="U92">IF($B92="","",IFERROR(IF(INDEX('01_UngVien_PhongVan'!$C:$C,MATCH($B92,'01_UngVien_PhongVan'!$B:$B,0))=0,"",INDEX('01_UngVien_PhongVan'!$C:$C,MATCH($B92,'01_UngVien_PhongVan'!$B:$B,0))),""))</f>
      </c>
      <c r="V92" s="73">
        <f t="array" ref="V92">IF($B92="","",IFERROR(IF(INDEX('02_DS_Nhan_Viec'!$D:$D,MATCH($B92,'02_DS_Nhan_Viec'!$B:$B,0))=0,"",INDEX('02_DS_Nhan_Viec'!$D:$D,MATCH($B92,'02_DS_Nhan_Viec'!$B:$B,0))),""))</f>
      </c>
      <c r="W92" s="73">
        <f t="array" ref="W92">IF($B92="","",IFERROR(IF(INDEX('02_DS_Nhan_Viec'!$E:$E,MATCH($B92,'02_DS_Nhan_Viec'!$B:$B,0))=0,"",INDEX('02_DS_Nhan_Viec'!$E:$E,MATCH($B92,'02_DS_Nhan_Viec'!$B:$B,0))),""))</f>
      </c>
      <c r="X92" s="73">
        <f t="array" ref="X92">IF($C92="","",IFERROR(IF(INDEX('05_Theo_Doi_Gio_Cong_7_Ngay'!$P:$P,MATCH($C92,'05_Theo_Doi_Gio_Cong_7_Ngay'!$B:$B,0))=0,"",INDEX('05_Theo_Doi_Gio_Cong_7_Ngay'!$P:$P,MATCH($C92,'05_Theo_Doi_Gio_Cong_7_Ngay'!$B:$B,0))),""))</f>
      </c>
      <c r="Y92" s="60">
        <f t="array" ref="Y92">IF($C92="","",IFERROR(IF(INDEX('05_Theo_Doi_Gio_Cong_7_Ngay'!$M:$M,MATCH($C92,'05_Theo_Doi_Gio_Cong_7_Ngay'!$B:$B,0))=0,"",INDEX('05_Theo_Doi_Gio_Cong_7_Ngay'!$M:$M,MATCH($C92,'05_Theo_Doi_Gio_Cong_7_Ngay'!$B:$B,0))),""))</f>
      </c>
      <c r="Z92" s="60">
        <f t="array" ref="Z92">IF($C92="","",IFERROR(IF(INDEX('05_Theo_Doi_Gio_Cong_7_Ngay'!$Q:$Q,MATCH($C92,'05_Theo_Doi_Gio_Cong_7_Ngay'!$B:$B,0))=0,"",INDEX('05_Theo_Doi_Gio_Cong_7_Ngay'!$Q:$Q,MATCH($C92,'05_Theo_Doi_Gio_Cong_7_Ngay'!$B:$B,0))),""))</f>
      </c>
      <c r="AA92" s="60">
        <f t="array" ref="AA92">IF($B92="","",IFERROR(IF(INDEX('02_DS_Nhan_Viec'!$H:$H,MATCH($B92,'02_DS_Nhan_Viec'!$B:$B,0))=0,"",INDEX('02_DS_Nhan_Viec'!$H:$H,MATCH($B92,'02_DS_Nhan_Viec'!$B:$B,0))),""))</f>
      </c>
      <c r="AB92" s="60">
        <f t="array" ref="AB92">IF($B92="","",IFERROR(IF(INDEX('02_DS_Nhan_Viec'!$I:$I,MATCH($B92,'02_DS_Nhan_Viec'!$B:$B,0))=0,"",INDEX('02_DS_Nhan_Viec'!$I:$I,MATCH($B92,'02_DS_Nhan_Viec'!$B:$B,0))),""))</f>
      </c>
      <c r="AC92" s="61">
        <f t="array" ref="AC92">IF($B92="","",IF($C92="","Đang theo dõi",IF(OR(IFERROR(INDEX('05_Theo_Doi_Gio_Cong_7_Ngay'!$R:$R,MATCH($C92,'05_Theo_Doi_Gio_Cong_7_Ngay'!$B:$B,0)),"")="",IFERROR(INDEX('05_Theo_Doi_Gio_Cong_7_Ngay'!$R:$R,MATCH($C92,'05_Theo_Doi_Gio_Cong_7_Ngay'!$B:$B,0)),0)=0),"Đang theo dõi",IFERROR(INDEX('06_DS_Chinh_Thuc'!$K:$K,MATCH(IFERROR(INDEX('05_Theo_Doi_Gio_Cong_7_Ngay'!$R:$R,MATCH($C92,'05_Theo_Doi_Gio_Cong_7_Ngay'!$B:$B,0)),0),'06_DS_Chinh_Thuc'!$B:$B,0)),"Đang theo dõi"))))</f>
      </c>
    </row>
    <row r="93" ht="14.25" customHeight="1" spans="1:29" x14ac:dyDescent="0.25">
      <c r="A93" s="52">
        <f t="shared" si="0"/>
      </c>
      <c r="B93" s="52">
        <f t="array" ref="B93">IFERROR(INDEX('02_DS_Nhan_Viec'!$B:$B,MATCH(92,'02_DS_Nhan_Viec'!$M:$M,0)),"")</f>
      </c>
      <c r="C93" s="52">
        <f t="array" ref="C93">IF($B93="","",IFERROR(IF(INDEX('02_DS_Nhan_Viec'!$J:$J,MATCH($B93,'02_DS_Nhan_Viec'!$B:$B,0))=0,"",INDEX('02_DS_Nhan_Viec'!$J:$J,MATCH($B93,'02_DS_Nhan_Viec'!$B:$B,0))),""))</f>
      </c>
      <c r="D93" s="52">
        <f t="array" ref="D93">IF($C93="","",IFERROR(IF(INDEX('05_Theo_Doi_Gio_Cong_7_Ngay'!$R:$R,MATCH($C93,'05_Theo_Doi_Gio_Cong_7_Ngay'!$B:$B,0))=0,"",INDEX('05_Theo_Doi_Gio_Cong_7_Ngay'!$R:$R,MATCH($C93,'05_Theo_Doi_Gio_Cong_7_Ngay'!$B:$B,0))),""))</f>
      </c>
      <c r="E93" s="60">
        <f t="array" ref="E93">IF($B93="","",IFERROR(IF(INDEX('01_UngVien_PhongVan'!$D:$D,MATCH($B93,'01_UngVien_PhongVan'!$B:$B,0))=0,"",INDEX('01_UngVien_PhongVan'!$D:$D,MATCH($B93,'01_UngVien_PhongVan'!$B:$B,0))),""))</f>
      </c>
      <c r="F93" s="52">
        <f t="array" ref="F93">IF($B93="","",IFERROR(IF(INDEX('01_UngVien_PhongVan'!$F:$F,MATCH($B93,'01_UngVien_PhongVan'!$B:$B,0))=0,"",INDEX('01_UngVien_PhongVan'!$F:$F,MATCH($B93,'01_UngVien_PhongVan'!$B:$B,0))),""))</f>
      </c>
      <c r="G93" s="72">
        <f t="array" ref="G93">IF($B93="","",IFERROR(IF(INDEX('01_UngVien_PhongVan'!$G:$G,MATCH($B93,'01_UngVien_PhongVan'!$B:$B,0))=0,"",INDEX('01_UngVien_PhongVan'!$G:$G,MATCH($B93,'01_UngVien_PhongVan'!$B:$B,0))),""))</f>
      </c>
      <c r="H93" s="52">
        <f t="array" ref="H93">IF($B93="","",IFERROR(IF(INDEX('01_UngVien_PhongVan'!$H:$H,MATCH($B93,'01_UngVien_PhongVan'!$B:$B,0))=0,"",INDEX('01_UngVien_PhongVan'!$H:$H,MATCH($B93,'01_UngVien_PhongVan'!$B:$B,0))),""))</f>
      </c>
      <c r="I93" s="60">
        <f t="array" ref="I93">IF($B93="","",IFERROR(IF(INDEX('01_UngVien_PhongVan'!$I:$I,MATCH($B93,'01_UngVien_PhongVan'!$B:$B,0))=0,"",INDEX('01_UngVien_PhongVan'!$I:$I,MATCH($B93,'01_UngVien_PhongVan'!$B:$B,0))),""))</f>
      </c>
      <c r="J93" s="60">
        <f t="array" ref="J93">IF($B93="","",IFERROR(IF(INDEX('01_UngVien_PhongVan'!$J:$J,MATCH($B93,'01_UngVien_PhongVan'!$B:$B,0))=0,"",INDEX('01_UngVien_PhongVan'!$J:$J,MATCH($B93,'01_UngVien_PhongVan'!$B:$B,0))),""))</f>
      </c>
      <c r="K93" s="73">
        <f t="array" ref="K93">IF($B93="","",IFERROR(IF(INDEX('01_UngVien_PhongVan'!$K:$K,MATCH($B93,'01_UngVien_PhongVan'!$B:$B,0))=0,"",INDEX('01_UngVien_PhongVan'!$K:$K,MATCH($B93,'01_UngVien_PhongVan'!$B:$B,0))),""))</f>
      </c>
      <c r="L93" s="60">
        <f t="array" ref="L93">IF($B93="","",IFERROR(IF(INDEX('01_UngVien_PhongVan'!$L:$L,MATCH($B93,'01_UngVien_PhongVan'!$B:$B,0))=0,"",INDEX('01_UngVien_PhongVan'!$L:$L,MATCH($B93,'01_UngVien_PhongVan'!$B:$B,0))),""))</f>
      </c>
      <c r="M93" s="60">
        <f t="array" ref="M93">IF($B93="","",IFERROR(IF(INDEX('01_UngVien_PhongVan'!$E:$E,MATCH($B93,'01_UngVien_PhongVan'!$B:$B,0))=0,"",INDEX('01_UngVien_PhongVan'!$E:$E,MATCH($B93,'01_UngVien_PhongVan'!$B:$B,0))),""))</f>
      </c>
      <c r="N93" s="60">
        <f t="array" ref="N93">IF($B93="","",IFERROR(IF(INDEX('01_UngVien_PhongVan'!$M:$M,MATCH($B93,'01_UngVien_PhongVan'!$B:$B,0))=0,"",INDEX('01_UngVien_PhongVan'!$M:$M,MATCH($B93,'01_UngVien_PhongVan'!$B:$B,0))),""))</f>
      </c>
      <c r="O93" s="60">
        <f t="array" ref="O93">IF($B93="","",IFERROR(IF(INDEX('01_UngVien_PhongVan'!$N:$N,MATCH($B93,'01_UngVien_PhongVan'!$B:$B,0))=0,"",INDEX('01_UngVien_PhongVan'!$N:$N,MATCH($B93,'01_UngVien_PhongVan'!$B:$B,0))),""))</f>
      </c>
      <c r="P93" s="60">
        <f t="array" ref="P93">IF($B93="","",IFERROR(IF(INDEX('01_UngVien_PhongVan'!$O:$O,MATCH($B93,'01_UngVien_PhongVan'!$B:$B,0))=0,"",INDEX('01_UngVien_PhongVan'!$O:$O,MATCH($B93,'01_UngVien_PhongVan'!$B:$B,0))),""))</f>
      </c>
      <c r="Q93" s="60">
        <f t="array" ref="Q93">IF($B93="","",IFERROR(IF(INDEX('01_UngVien_PhongVan'!$P:$P,MATCH($B93,'01_UngVien_PhongVan'!$B:$B,0))=0,"",INDEX('01_UngVien_PhongVan'!$P:$P,MATCH($B93,'01_UngVien_PhongVan'!$B:$B,0))),""))</f>
      </c>
      <c r="R93" s="60">
        <f t="array" ref="R93">IF($B93="","",IFERROR(IF(INDEX('01_UngVien_PhongVan'!$Q:$Q,MATCH($B93,'01_UngVien_PhongVan'!$B:$B,0))=0,"",INDEX('01_UngVien_PhongVan'!$Q:$Q,MATCH($B93,'01_UngVien_PhongVan'!$B:$B,0))),""))</f>
      </c>
      <c r="S93" s="60">
        <f t="array" ref="S93">IF($B93="","",IFERROR(IF(INDEX('01_UngVien_PhongVan'!$R:$R,MATCH($B93,'01_UngVien_PhongVan'!$B:$B,0))=0,"",INDEX('01_UngVien_PhongVan'!$R:$R,MATCH($B93,'01_UngVien_PhongVan'!$B:$B,0))),""))</f>
      </c>
      <c r="T93" s="60">
        <f t="array" ref="T93">IF($B93="","",IFERROR(IF(INDEX('01_UngVien_PhongVan'!$U:$U,MATCH($B93,'01_UngVien_PhongVan'!$B:$B,0))=0,"",INDEX('01_UngVien_PhongVan'!$U:$U,MATCH($B93,'01_UngVien_PhongVan'!$B:$B,0))),""))</f>
      </c>
      <c r="U93" s="73">
        <f t="array" ref="U93">IF($B93="","",IFERROR(IF(INDEX('01_UngVien_PhongVan'!$C:$C,MATCH($B93,'01_UngVien_PhongVan'!$B:$B,0))=0,"",INDEX('01_UngVien_PhongVan'!$C:$C,MATCH($B93,'01_UngVien_PhongVan'!$B:$B,0))),""))</f>
      </c>
      <c r="V93" s="73">
        <f t="array" ref="V93">IF($B93="","",IFERROR(IF(INDEX('02_DS_Nhan_Viec'!$D:$D,MATCH($B93,'02_DS_Nhan_Viec'!$B:$B,0))=0,"",INDEX('02_DS_Nhan_Viec'!$D:$D,MATCH($B93,'02_DS_Nhan_Viec'!$B:$B,0))),""))</f>
      </c>
      <c r="W93" s="73">
        <f t="array" ref="W93">IF($B93="","",IFERROR(IF(INDEX('02_DS_Nhan_Viec'!$E:$E,MATCH($B93,'02_DS_Nhan_Viec'!$B:$B,0))=0,"",INDEX('02_DS_Nhan_Viec'!$E:$E,MATCH($B93,'02_DS_Nhan_Viec'!$B:$B,0))),""))</f>
      </c>
      <c r="X93" s="73">
        <f t="array" ref="X93">IF($C93="","",IFERROR(IF(INDEX('05_Theo_Doi_Gio_Cong_7_Ngay'!$P:$P,MATCH($C93,'05_Theo_Doi_Gio_Cong_7_Ngay'!$B:$B,0))=0,"",INDEX('05_Theo_Doi_Gio_Cong_7_Ngay'!$P:$P,MATCH($C93,'05_Theo_Doi_Gio_Cong_7_Ngay'!$B:$B,0))),""))</f>
      </c>
      <c r="Y93" s="60">
        <f t="array" ref="Y93">IF($C93="","",IFERROR(IF(INDEX('05_Theo_Doi_Gio_Cong_7_Ngay'!$M:$M,MATCH($C93,'05_Theo_Doi_Gio_Cong_7_Ngay'!$B:$B,0))=0,"",INDEX('05_Theo_Doi_Gio_Cong_7_Ngay'!$M:$M,MATCH($C93,'05_Theo_Doi_Gio_Cong_7_Ngay'!$B:$B,0))),""))</f>
      </c>
      <c r="Z93" s="60">
        <f t="array" ref="Z93">IF($C93="","",IFERROR(IF(INDEX('05_Theo_Doi_Gio_Cong_7_Ngay'!$Q:$Q,MATCH($C93,'05_Theo_Doi_Gio_Cong_7_Ngay'!$B:$B,0))=0,"",INDEX('05_Theo_Doi_Gio_Cong_7_Ngay'!$Q:$Q,MATCH($C93,'05_Theo_Doi_Gio_Cong_7_Ngay'!$B:$B,0))),""))</f>
      </c>
      <c r="AA93" s="60">
        <f t="array" ref="AA93">IF($B93="","",IFERROR(IF(INDEX('02_DS_Nhan_Viec'!$H:$H,MATCH($B93,'02_DS_Nhan_Viec'!$B:$B,0))=0,"",INDEX('02_DS_Nhan_Viec'!$H:$H,MATCH($B93,'02_DS_Nhan_Viec'!$B:$B,0))),""))</f>
      </c>
      <c r="AB93" s="60">
        <f t="array" ref="AB93">IF($B93="","",IFERROR(IF(INDEX('02_DS_Nhan_Viec'!$I:$I,MATCH($B93,'02_DS_Nhan_Viec'!$B:$B,0))=0,"",INDEX('02_DS_Nhan_Viec'!$I:$I,MATCH($B93,'02_DS_Nhan_Viec'!$B:$B,0))),""))</f>
      </c>
      <c r="AC93" s="61">
        <f t="array" ref="AC93">IF($B93="","",IF($C93="","Đang theo dõi",IF(OR(IFERROR(INDEX('05_Theo_Doi_Gio_Cong_7_Ngay'!$R:$R,MATCH($C93,'05_Theo_Doi_Gio_Cong_7_Ngay'!$B:$B,0)),"")="",IFERROR(INDEX('05_Theo_Doi_Gio_Cong_7_Ngay'!$R:$R,MATCH($C93,'05_Theo_Doi_Gio_Cong_7_Ngay'!$B:$B,0)),0)=0),"Đang theo dõi",IFERROR(INDEX('06_DS_Chinh_Thuc'!$K:$K,MATCH(IFERROR(INDEX('05_Theo_Doi_Gio_Cong_7_Ngay'!$R:$R,MATCH($C93,'05_Theo_Doi_Gio_Cong_7_Ngay'!$B:$B,0)),0),'06_DS_Chinh_Thuc'!$B:$B,0)),"Đang theo dõi"))))</f>
      </c>
    </row>
    <row r="94" ht="14.25" customHeight="1" spans="1:29" x14ac:dyDescent="0.25">
      <c r="A94" s="52">
        <f t="shared" si="0"/>
      </c>
      <c r="B94" s="52">
        <f t="array" ref="B94">IFERROR(INDEX('02_DS_Nhan_Viec'!$B:$B,MATCH(93,'02_DS_Nhan_Viec'!$M:$M,0)),"")</f>
      </c>
      <c r="C94" s="52">
        <f t="array" ref="C94">IF($B94="","",IFERROR(IF(INDEX('02_DS_Nhan_Viec'!$J:$J,MATCH($B94,'02_DS_Nhan_Viec'!$B:$B,0))=0,"",INDEX('02_DS_Nhan_Viec'!$J:$J,MATCH($B94,'02_DS_Nhan_Viec'!$B:$B,0))),""))</f>
      </c>
      <c r="D94" s="52">
        <f t="array" ref="D94">IF($C94="","",IFERROR(IF(INDEX('05_Theo_Doi_Gio_Cong_7_Ngay'!$R:$R,MATCH($C94,'05_Theo_Doi_Gio_Cong_7_Ngay'!$B:$B,0))=0,"",INDEX('05_Theo_Doi_Gio_Cong_7_Ngay'!$R:$R,MATCH($C94,'05_Theo_Doi_Gio_Cong_7_Ngay'!$B:$B,0))),""))</f>
      </c>
      <c r="E94" s="60">
        <f t="array" ref="E94">IF($B94="","",IFERROR(IF(INDEX('01_UngVien_PhongVan'!$D:$D,MATCH($B94,'01_UngVien_PhongVan'!$B:$B,0))=0,"",INDEX('01_UngVien_PhongVan'!$D:$D,MATCH($B94,'01_UngVien_PhongVan'!$B:$B,0))),""))</f>
      </c>
      <c r="F94" s="52">
        <f t="array" ref="F94">IF($B94="","",IFERROR(IF(INDEX('01_UngVien_PhongVan'!$F:$F,MATCH($B94,'01_UngVien_PhongVan'!$B:$B,0))=0,"",INDEX('01_UngVien_PhongVan'!$F:$F,MATCH($B94,'01_UngVien_PhongVan'!$B:$B,0))),""))</f>
      </c>
      <c r="G94" s="72">
        <f t="array" ref="G94">IF($B94="","",IFERROR(IF(INDEX('01_UngVien_PhongVan'!$G:$G,MATCH($B94,'01_UngVien_PhongVan'!$B:$B,0))=0,"",INDEX('01_UngVien_PhongVan'!$G:$G,MATCH($B94,'01_UngVien_PhongVan'!$B:$B,0))),""))</f>
      </c>
      <c r="H94" s="52">
        <f t="array" ref="H94">IF($B94="","",IFERROR(IF(INDEX('01_UngVien_PhongVan'!$H:$H,MATCH($B94,'01_UngVien_PhongVan'!$B:$B,0))=0,"",INDEX('01_UngVien_PhongVan'!$H:$H,MATCH($B94,'01_UngVien_PhongVan'!$B:$B,0))),""))</f>
      </c>
      <c r="I94" s="60">
        <f t="array" ref="I94">IF($B94="","",IFERROR(IF(INDEX('01_UngVien_PhongVan'!$I:$I,MATCH($B94,'01_UngVien_PhongVan'!$B:$B,0))=0,"",INDEX('01_UngVien_PhongVan'!$I:$I,MATCH($B94,'01_UngVien_PhongVan'!$B:$B,0))),""))</f>
      </c>
      <c r="J94" s="60">
        <f t="array" ref="J94">IF($B94="","",IFERROR(IF(INDEX('01_UngVien_PhongVan'!$J:$J,MATCH($B94,'01_UngVien_PhongVan'!$B:$B,0))=0,"",INDEX('01_UngVien_PhongVan'!$J:$J,MATCH($B94,'01_UngVien_PhongVan'!$B:$B,0))),""))</f>
      </c>
      <c r="K94" s="73">
        <f t="array" ref="K94">IF($B94="","",IFERROR(IF(INDEX('01_UngVien_PhongVan'!$K:$K,MATCH($B94,'01_UngVien_PhongVan'!$B:$B,0))=0,"",INDEX('01_UngVien_PhongVan'!$K:$K,MATCH($B94,'01_UngVien_PhongVan'!$B:$B,0))),""))</f>
      </c>
      <c r="L94" s="60">
        <f t="array" ref="L94">IF($B94="","",IFERROR(IF(INDEX('01_UngVien_PhongVan'!$L:$L,MATCH($B94,'01_UngVien_PhongVan'!$B:$B,0))=0,"",INDEX('01_UngVien_PhongVan'!$L:$L,MATCH($B94,'01_UngVien_PhongVan'!$B:$B,0))),""))</f>
      </c>
      <c r="M94" s="60">
        <f t="array" ref="M94">IF($B94="","",IFERROR(IF(INDEX('01_UngVien_PhongVan'!$E:$E,MATCH($B94,'01_UngVien_PhongVan'!$B:$B,0))=0,"",INDEX('01_UngVien_PhongVan'!$E:$E,MATCH($B94,'01_UngVien_PhongVan'!$B:$B,0))),""))</f>
      </c>
      <c r="N94" s="60">
        <f t="array" ref="N94">IF($B94="","",IFERROR(IF(INDEX('01_UngVien_PhongVan'!$M:$M,MATCH($B94,'01_UngVien_PhongVan'!$B:$B,0))=0,"",INDEX('01_UngVien_PhongVan'!$M:$M,MATCH($B94,'01_UngVien_PhongVan'!$B:$B,0))),""))</f>
      </c>
      <c r="O94" s="60">
        <f t="array" ref="O94">IF($B94="","",IFERROR(IF(INDEX('01_UngVien_PhongVan'!$N:$N,MATCH($B94,'01_UngVien_PhongVan'!$B:$B,0))=0,"",INDEX('01_UngVien_PhongVan'!$N:$N,MATCH($B94,'01_UngVien_PhongVan'!$B:$B,0))),""))</f>
      </c>
      <c r="P94" s="60">
        <f t="array" ref="P94">IF($B94="","",IFERROR(IF(INDEX('01_UngVien_PhongVan'!$O:$O,MATCH($B94,'01_UngVien_PhongVan'!$B:$B,0))=0,"",INDEX('01_UngVien_PhongVan'!$O:$O,MATCH($B94,'01_UngVien_PhongVan'!$B:$B,0))),""))</f>
      </c>
      <c r="Q94" s="60">
        <f t="array" ref="Q94">IF($B94="","",IFERROR(IF(INDEX('01_UngVien_PhongVan'!$P:$P,MATCH($B94,'01_UngVien_PhongVan'!$B:$B,0))=0,"",INDEX('01_UngVien_PhongVan'!$P:$P,MATCH($B94,'01_UngVien_PhongVan'!$B:$B,0))),""))</f>
      </c>
      <c r="R94" s="60">
        <f t="array" ref="R94">IF($B94="","",IFERROR(IF(INDEX('01_UngVien_PhongVan'!$Q:$Q,MATCH($B94,'01_UngVien_PhongVan'!$B:$B,0))=0,"",INDEX('01_UngVien_PhongVan'!$Q:$Q,MATCH($B94,'01_UngVien_PhongVan'!$B:$B,0))),""))</f>
      </c>
      <c r="S94" s="60">
        <f t="array" ref="S94">IF($B94="","",IFERROR(IF(INDEX('01_UngVien_PhongVan'!$R:$R,MATCH($B94,'01_UngVien_PhongVan'!$B:$B,0))=0,"",INDEX('01_UngVien_PhongVan'!$R:$R,MATCH($B94,'01_UngVien_PhongVan'!$B:$B,0))),""))</f>
      </c>
      <c r="T94" s="60">
        <f t="array" ref="T94">IF($B94="","",IFERROR(IF(INDEX('01_UngVien_PhongVan'!$U:$U,MATCH($B94,'01_UngVien_PhongVan'!$B:$B,0))=0,"",INDEX('01_UngVien_PhongVan'!$U:$U,MATCH($B94,'01_UngVien_PhongVan'!$B:$B,0))),""))</f>
      </c>
      <c r="U94" s="73">
        <f t="array" ref="U94">IF($B94="","",IFERROR(IF(INDEX('01_UngVien_PhongVan'!$C:$C,MATCH($B94,'01_UngVien_PhongVan'!$B:$B,0))=0,"",INDEX('01_UngVien_PhongVan'!$C:$C,MATCH($B94,'01_UngVien_PhongVan'!$B:$B,0))),""))</f>
      </c>
      <c r="V94" s="73">
        <f t="array" ref="V94">IF($B94="","",IFERROR(IF(INDEX('02_DS_Nhan_Viec'!$D:$D,MATCH($B94,'02_DS_Nhan_Viec'!$B:$B,0))=0,"",INDEX('02_DS_Nhan_Viec'!$D:$D,MATCH($B94,'02_DS_Nhan_Viec'!$B:$B,0))),""))</f>
      </c>
      <c r="W94" s="73">
        <f t="array" ref="W94">IF($B94="","",IFERROR(IF(INDEX('02_DS_Nhan_Viec'!$E:$E,MATCH($B94,'02_DS_Nhan_Viec'!$B:$B,0))=0,"",INDEX('02_DS_Nhan_Viec'!$E:$E,MATCH($B94,'02_DS_Nhan_Viec'!$B:$B,0))),""))</f>
      </c>
      <c r="X94" s="73">
        <f t="array" ref="X94">IF($C94="","",IFERROR(IF(INDEX('05_Theo_Doi_Gio_Cong_7_Ngay'!$P:$P,MATCH($C94,'05_Theo_Doi_Gio_Cong_7_Ngay'!$B:$B,0))=0,"",INDEX('05_Theo_Doi_Gio_Cong_7_Ngay'!$P:$P,MATCH($C94,'05_Theo_Doi_Gio_Cong_7_Ngay'!$B:$B,0))),""))</f>
      </c>
      <c r="Y94" s="60">
        <f t="array" ref="Y94">IF($C94="","",IFERROR(IF(INDEX('05_Theo_Doi_Gio_Cong_7_Ngay'!$M:$M,MATCH($C94,'05_Theo_Doi_Gio_Cong_7_Ngay'!$B:$B,0))=0,"",INDEX('05_Theo_Doi_Gio_Cong_7_Ngay'!$M:$M,MATCH($C94,'05_Theo_Doi_Gio_Cong_7_Ngay'!$B:$B,0))),""))</f>
      </c>
      <c r="Z94" s="60">
        <f t="array" ref="Z94">IF($C94="","",IFERROR(IF(INDEX('05_Theo_Doi_Gio_Cong_7_Ngay'!$Q:$Q,MATCH($C94,'05_Theo_Doi_Gio_Cong_7_Ngay'!$B:$B,0))=0,"",INDEX('05_Theo_Doi_Gio_Cong_7_Ngay'!$Q:$Q,MATCH($C94,'05_Theo_Doi_Gio_Cong_7_Ngay'!$B:$B,0))),""))</f>
      </c>
      <c r="AA94" s="60">
        <f t="array" ref="AA94">IF($B94="","",IFERROR(IF(INDEX('02_DS_Nhan_Viec'!$H:$H,MATCH($B94,'02_DS_Nhan_Viec'!$B:$B,0))=0,"",INDEX('02_DS_Nhan_Viec'!$H:$H,MATCH($B94,'02_DS_Nhan_Viec'!$B:$B,0))),""))</f>
      </c>
      <c r="AB94" s="60">
        <f t="array" ref="AB94">IF($B94="","",IFERROR(IF(INDEX('02_DS_Nhan_Viec'!$I:$I,MATCH($B94,'02_DS_Nhan_Viec'!$B:$B,0))=0,"",INDEX('02_DS_Nhan_Viec'!$I:$I,MATCH($B94,'02_DS_Nhan_Viec'!$B:$B,0))),""))</f>
      </c>
      <c r="AC94" s="61">
        <f t="array" ref="AC94">IF($B94="","",IF($C94="","Đang theo dõi",IF(OR(IFERROR(INDEX('05_Theo_Doi_Gio_Cong_7_Ngay'!$R:$R,MATCH($C94,'05_Theo_Doi_Gio_Cong_7_Ngay'!$B:$B,0)),"")="",IFERROR(INDEX('05_Theo_Doi_Gio_Cong_7_Ngay'!$R:$R,MATCH($C94,'05_Theo_Doi_Gio_Cong_7_Ngay'!$B:$B,0)),0)=0),"Đang theo dõi",IFERROR(INDEX('06_DS_Chinh_Thuc'!$K:$K,MATCH(IFERROR(INDEX('05_Theo_Doi_Gio_Cong_7_Ngay'!$R:$R,MATCH($C94,'05_Theo_Doi_Gio_Cong_7_Ngay'!$B:$B,0)),0),'06_DS_Chinh_Thuc'!$B:$B,0)),"Đang theo dõi"))))</f>
      </c>
    </row>
    <row r="95" ht="14.25" customHeight="1" spans="1:29" x14ac:dyDescent="0.25">
      <c r="A95" s="52">
        <f t="shared" si="0"/>
      </c>
      <c r="B95" s="52">
        <f t="array" ref="B95">IFERROR(INDEX('02_DS_Nhan_Viec'!$B:$B,MATCH(94,'02_DS_Nhan_Viec'!$M:$M,0)),"")</f>
      </c>
      <c r="C95" s="52">
        <f t="array" ref="C95">IF($B95="","",IFERROR(IF(INDEX('02_DS_Nhan_Viec'!$J:$J,MATCH($B95,'02_DS_Nhan_Viec'!$B:$B,0))=0,"",INDEX('02_DS_Nhan_Viec'!$J:$J,MATCH($B95,'02_DS_Nhan_Viec'!$B:$B,0))),""))</f>
      </c>
      <c r="D95" s="52">
        <f t="array" ref="D95">IF($C95="","",IFERROR(IF(INDEX('05_Theo_Doi_Gio_Cong_7_Ngay'!$R:$R,MATCH($C95,'05_Theo_Doi_Gio_Cong_7_Ngay'!$B:$B,0))=0,"",INDEX('05_Theo_Doi_Gio_Cong_7_Ngay'!$R:$R,MATCH($C95,'05_Theo_Doi_Gio_Cong_7_Ngay'!$B:$B,0))),""))</f>
      </c>
      <c r="E95" s="60">
        <f t="array" ref="E95">IF($B95="","",IFERROR(IF(INDEX('01_UngVien_PhongVan'!$D:$D,MATCH($B95,'01_UngVien_PhongVan'!$B:$B,0))=0,"",INDEX('01_UngVien_PhongVan'!$D:$D,MATCH($B95,'01_UngVien_PhongVan'!$B:$B,0))),""))</f>
      </c>
      <c r="F95" s="52">
        <f t="array" ref="F95">IF($B95="","",IFERROR(IF(INDEX('01_UngVien_PhongVan'!$F:$F,MATCH($B95,'01_UngVien_PhongVan'!$B:$B,0))=0,"",INDEX('01_UngVien_PhongVan'!$F:$F,MATCH($B95,'01_UngVien_PhongVan'!$B:$B,0))),""))</f>
      </c>
      <c r="G95" s="72">
        <f t="array" ref="G95">IF($B95="","",IFERROR(IF(INDEX('01_UngVien_PhongVan'!$G:$G,MATCH($B95,'01_UngVien_PhongVan'!$B:$B,0))=0,"",INDEX('01_UngVien_PhongVan'!$G:$G,MATCH($B95,'01_UngVien_PhongVan'!$B:$B,0))),""))</f>
      </c>
      <c r="H95" s="52">
        <f t="array" ref="H95">IF($B95="","",IFERROR(IF(INDEX('01_UngVien_PhongVan'!$H:$H,MATCH($B95,'01_UngVien_PhongVan'!$B:$B,0))=0,"",INDEX('01_UngVien_PhongVan'!$H:$H,MATCH($B95,'01_UngVien_PhongVan'!$B:$B,0))),""))</f>
      </c>
      <c r="I95" s="60">
        <f t="array" ref="I95">IF($B95="","",IFERROR(IF(INDEX('01_UngVien_PhongVan'!$I:$I,MATCH($B95,'01_UngVien_PhongVan'!$B:$B,0))=0,"",INDEX('01_UngVien_PhongVan'!$I:$I,MATCH($B95,'01_UngVien_PhongVan'!$B:$B,0))),""))</f>
      </c>
      <c r="J95" s="60">
        <f t="array" ref="J95">IF($B95="","",IFERROR(IF(INDEX('01_UngVien_PhongVan'!$J:$J,MATCH($B95,'01_UngVien_PhongVan'!$B:$B,0))=0,"",INDEX('01_UngVien_PhongVan'!$J:$J,MATCH($B95,'01_UngVien_PhongVan'!$B:$B,0))),""))</f>
      </c>
      <c r="K95" s="73">
        <f t="array" ref="K95">IF($B95="","",IFERROR(IF(INDEX('01_UngVien_PhongVan'!$K:$K,MATCH($B95,'01_UngVien_PhongVan'!$B:$B,0))=0,"",INDEX('01_UngVien_PhongVan'!$K:$K,MATCH($B95,'01_UngVien_PhongVan'!$B:$B,0))),""))</f>
      </c>
      <c r="L95" s="60">
        <f t="array" ref="L95">IF($B95="","",IFERROR(IF(INDEX('01_UngVien_PhongVan'!$L:$L,MATCH($B95,'01_UngVien_PhongVan'!$B:$B,0))=0,"",INDEX('01_UngVien_PhongVan'!$L:$L,MATCH($B95,'01_UngVien_PhongVan'!$B:$B,0))),""))</f>
      </c>
      <c r="M95" s="60">
        <f t="array" ref="M95">IF($B95="","",IFERROR(IF(INDEX('01_UngVien_PhongVan'!$E:$E,MATCH($B95,'01_UngVien_PhongVan'!$B:$B,0))=0,"",INDEX('01_UngVien_PhongVan'!$E:$E,MATCH($B95,'01_UngVien_PhongVan'!$B:$B,0))),""))</f>
      </c>
      <c r="N95" s="60">
        <f t="array" ref="N95">IF($B95="","",IFERROR(IF(INDEX('01_UngVien_PhongVan'!$M:$M,MATCH($B95,'01_UngVien_PhongVan'!$B:$B,0))=0,"",INDEX('01_UngVien_PhongVan'!$M:$M,MATCH($B95,'01_UngVien_PhongVan'!$B:$B,0))),""))</f>
      </c>
      <c r="O95" s="60">
        <f t="array" ref="O95">IF($B95="","",IFERROR(IF(INDEX('01_UngVien_PhongVan'!$N:$N,MATCH($B95,'01_UngVien_PhongVan'!$B:$B,0))=0,"",INDEX('01_UngVien_PhongVan'!$N:$N,MATCH($B95,'01_UngVien_PhongVan'!$B:$B,0))),""))</f>
      </c>
      <c r="P95" s="60">
        <f t="array" ref="P95">IF($B95="","",IFERROR(IF(INDEX('01_UngVien_PhongVan'!$O:$O,MATCH($B95,'01_UngVien_PhongVan'!$B:$B,0))=0,"",INDEX('01_UngVien_PhongVan'!$O:$O,MATCH($B95,'01_UngVien_PhongVan'!$B:$B,0))),""))</f>
      </c>
      <c r="Q95" s="60">
        <f t="array" ref="Q95">IF($B95="","",IFERROR(IF(INDEX('01_UngVien_PhongVan'!$P:$P,MATCH($B95,'01_UngVien_PhongVan'!$B:$B,0))=0,"",INDEX('01_UngVien_PhongVan'!$P:$P,MATCH($B95,'01_UngVien_PhongVan'!$B:$B,0))),""))</f>
      </c>
      <c r="R95" s="60">
        <f t="array" ref="R95">IF($B95="","",IFERROR(IF(INDEX('01_UngVien_PhongVan'!$Q:$Q,MATCH($B95,'01_UngVien_PhongVan'!$B:$B,0))=0,"",INDEX('01_UngVien_PhongVan'!$Q:$Q,MATCH($B95,'01_UngVien_PhongVan'!$B:$B,0))),""))</f>
      </c>
      <c r="S95" s="60">
        <f t="array" ref="S95">IF($B95="","",IFERROR(IF(INDEX('01_UngVien_PhongVan'!$R:$R,MATCH($B95,'01_UngVien_PhongVan'!$B:$B,0))=0,"",INDEX('01_UngVien_PhongVan'!$R:$R,MATCH($B95,'01_UngVien_PhongVan'!$B:$B,0))),""))</f>
      </c>
      <c r="T95" s="60">
        <f t="array" ref="T95">IF($B95="","",IFERROR(IF(INDEX('01_UngVien_PhongVan'!$U:$U,MATCH($B95,'01_UngVien_PhongVan'!$B:$B,0))=0,"",INDEX('01_UngVien_PhongVan'!$U:$U,MATCH($B95,'01_UngVien_PhongVan'!$B:$B,0))),""))</f>
      </c>
      <c r="U95" s="73">
        <f t="array" ref="U95">IF($B95="","",IFERROR(IF(INDEX('01_UngVien_PhongVan'!$C:$C,MATCH($B95,'01_UngVien_PhongVan'!$B:$B,0))=0,"",INDEX('01_UngVien_PhongVan'!$C:$C,MATCH($B95,'01_UngVien_PhongVan'!$B:$B,0))),""))</f>
      </c>
      <c r="V95" s="73">
        <f t="array" ref="V95">IF($B95="","",IFERROR(IF(INDEX('02_DS_Nhan_Viec'!$D:$D,MATCH($B95,'02_DS_Nhan_Viec'!$B:$B,0))=0,"",INDEX('02_DS_Nhan_Viec'!$D:$D,MATCH($B95,'02_DS_Nhan_Viec'!$B:$B,0))),""))</f>
      </c>
      <c r="W95" s="73">
        <f t="array" ref="W95">IF($B95="","",IFERROR(IF(INDEX('02_DS_Nhan_Viec'!$E:$E,MATCH($B95,'02_DS_Nhan_Viec'!$B:$B,0))=0,"",INDEX('02_DS_Nhan_Viec'!$E:$E,MATCH($B95,'02_DS_Nhan_Viec'!$B:$B,0))),""))</f>
      </c>
      <c r="X95" s="73">
        <f t="array" ref="X95">IF($C95="","",IFERROR(IF(INDEX('05_Theo_Doi_Gio_Cong_7_Ngay'!$P:$P,MATCH($C95,'05_Theo_Doi_Gio_Cong_7_Ngay'!$B:$B,0))=0,"",INDEX('05_Theo_Doi_Gio_Cong_7_Ngay'!$P:$P,MATCH($C95,'05_Theo_Doi_Gio_Cong_7_Ngay'!$B:$B,0))),""))</f>
      </c>
      <c r="Y95" s="60">
        <f t="array" ref="Y95">IF($C95="","",IFERROR(IF(INDEX('05_Theo_Doi_Gio_Cong_7_Ngay'!$M:$M,MATCH($C95,'05_Theo_Doi_Gio_Cong_7_Ngay'!$B:$B,0))=0,"",INDEX('05_Theo_Doi_Gio_Cong_7_Ngay'!$M:$M,MATCH($C95,'05_Theo_Doi_Gio_Cong_7_Ngay'!$B:$B,0))),""))</f>
      </c>
      <c r="Z95" s="60">
        <f t="array" ref="Z95">IF($C95="","",IFERROR(IF(INDEX('05_Theo_Doi_Gio_Cong_7_Ngay'!$Q:$Q,MATCH($C95,'05_Theo_Doi_Gio_Cong_7_Ngay'!$B:$B,0))=0,"",INDEX('05_Theo_Doi_Gio_Cong_7_Ngay'!$Q:$Q,MATCH($C95,'05_Theo_Doi_Gio_Cong_7_Ngay'!$B:$B,0))),""))</f>
      </c>
      <c r="AA95" s="60">
        <f t="array" ref="AA95">IF($B95="","",IFERROR(IF(INDEX('02_DS_Nhan_Viec'!$H:$H,MATCH($B95,'02_DS_Nhan_Viec'!$B:$B,0))=0,"",INDEX('02_DS_Nhan_Viec'!$H:$H,MATCH($B95,'02_DS_Nhan_Viec'!$B:$B,0))),""))</f>
      </c>
      <c r="AB95" s="60">
        <f t="array" ref="AB95">IF($B95="","",IFERROR(IF(INDEX('02_DS_Nhan_Viec'!$I:$I,MATCH($B95,'02_DS_Nhan_Viec'!$B:$B,0))=0,"",INDEX('02_DS_Nhan_Viec'!$I:$I,MATCH($B95,'02_DS_Nhan_Viec'!$B:$B,0))),""))</f>
      </c>
      <c r="AC95" s="61">
        <f t="array" ref="AC95">IF($B95="","",IF($C95="","Đang theo dõi",IF(OR(IFERROR(INDEX('05_Theo_Doi_Gio_Cong_7_Ngay'!$R:$R,MATCH($C95,'05_Theo_Doi_Gio_Cong_7_Ngay'!$B:$B,0)),"")="",IFERROR(INDEX('05_Theo_Doi_Gio_Cong_7_Ngay'!$R:$R,MATCH($C95,'05_Theo_Doi_Gio_Cong_7_Ngay'!$B:$B,0)),0)=0),"Đang theo dõi",IFERROR(INDEX('06_DS_Chinh_Thuc'!$K:$K,MATCH(IFERROR(INDEX('05_Theo_Doi_Gio_Cong_7_Ngay'!$R:$R,MATCH($C95,'05_Theo_Doi_Gio_Cong_7_Ngay'!$B:$B,0)),0),'06_DS_Chinh_Thuc'!$B:$B,0)),"Đang theo dõi"))))</f>
      </c>
    </row>
    <row r="96" ht="14.25" customHeight="1" spans="1:29" x14ac:dyDescent="0.25">
      <c r="A96" s="52">
        <f t="shared" si="0"/>
      </c>
      <c r="B96" s="52">
        <f t="array" ref="B96">IFERROR(INDEX('02_DS_Nhan_Viec'!$B:$B,MATCH(95,'02_DS_Nhan_Viec'!$M:$M,0)),"")</f>
      </c>
      <c r="C96" s="52">
        <f t="array" ref="C96">IF($B96="","",IFERROR(IF(INDEX('02_DS_Nhan_Viec'!$J:$J,MATCH($B96,'02_DS_Nhan_Viec'!$B:$B,0))=0,"",INDEX('02_DS_Nhan_Viec'!$J:$J,MATCH($B96,'02_DS_Nhan_Viec'!$B:$B,0))),""))</f>
      </c>
      <c r="D96" s="52">
        <f t="array" ref="D96">IF($C96="","",IFERROR(IF(INDEX('05_Theo_Doi_Gio_Cong_7_Ngay'!$R:$R,MATCH($C96,'05_Theo_Doi_Gio_Cong_7_Ngay'!$B:$B,0))=0,"",INDEX('05_Theo_Doi_Gio_Cong_7_Ngay'!$R:$R,MATCH($C96,'05_Theo_Doi_Gio_Cong_7_Ngay'!$B:$B,0))),""))</f>
      </c>
      <c r="E96" s="60">
        <f t="array" ref="E96">IF($B96="","",IFERROR(IF(INDEX('01_UngVien_PhongVan'!$D:$D,MATCH($B96,'01_UngVien_PhongVan'!$B:$B,0))=0,"",INDEX('01_UngVien_PhongVan'!$D:$D,MATCH($B96,'01_UngVien_PhongVan'!$B:$B,0))),""))</f>
      </c>
      <c r="F96" s="52">
        <f t="array" ref="F96">IF($B96="","",IFERROR(IF(INDEX('01_UngVien_PhongVan'!$F:$F,MATCH($B96,'01_UngVien_PhongVan'!$B:$B,0))=0,"",INDEX('01_UngVien_PhongVan'!$F:$F,MATCH($B96,'01_UngVien_PhongVan'!$B:$B,0))),""))</f>
      </c>
      <c r="G96" s="72">
        <f t="array" ref="G96">IF($B96="","",IFERROR(IF(INDEX('01_UngVien_PhongVan'!$G:$G,MATCH($B96,'01_UngVien_PhongVan'!$B:$B,0))=0,"",INDEX('01_UngVien_PhongVan'!$G:$G,MATCH($B96,'01_UngVien_PhongVan'!$B:$B,0))),""))</f>
      </c>
      <c r="H96" s="52">
        <f t="array" ref="H96">IF($B96="","",IFERROR(IF(INDEX('01_UngVien_PhongVan'!$H:$H,MATCH($B96,'01_UngVien_PhongVan'!$B:$B,0))=0,"",INDEX('01_UngVien_PhongVan'!$H:$H,MATCH($B96,'01_UngVien_PhongVan'!$B:$B,0))),""))</f>
      </c>
      <c r="I96" s="60">
        <f t="array" ref="I96">IF($B96="","",IFERROR(IF(INDEX('01_UngVien_PhongVan'!$I:$I,MATCH($B96,'01_UngVien_PhongVan'!$B:$B,0))=0,"",INDEX('01_UngVien_PhongVan'!$I:$I,MATCH($B96,'01_UngVien_PhongVan'!$B:$B,0))),""))</f>
      </c>
      <c r="J96" s="60">
        <f t="array" ref="J96">IF($B96="","",IFERROR(IF(INDEX('01_UngVien_PhongVan'!$J:$J,MATCH($B96,'01_UngVien_PhongVan'!$B:$B,0))=0,"",INDEX('01_UngVien_PhongVan'!$J:$J,MATCH($B96,'01_UngVien_PhongVan'!$B:$B,0))),""))</f>
      </c>
      <c r="K96" s="73">
        <f t="array" ref="K96">IF($B96="","",IFERROR(IF(INDEX('01_UngVien_PhongVan'!$K:$K,MATCH($B96,'01_UngVien_PhongVan'!$B:$B,0))=0,"",INDEX('01_UngVien_PhongVan'!$K:$K,MATCH($B96,'01_UngVien_PhongVan'!$B:$B,0))),""))</f>
      </c>
      <c r="L96" s="60">
        <f t="array" ref="L96">IF($B96="","",IFERROR(IF(INDEX('01_UngVien_PhongVan'!$L:$L,MATCH($B96,'01_UngVien_PhongVan'!$B:$B,0))=0,"",INDEX('01_UngVien_PhongVan'!$L:$L,MATCH($B96,'01_UngVien_PhongVan'!$B:$B,0))),""))</f>
      </c>
      <c r="M96" s="60">
        <f t="array" ref="M96">IF($B96="","",IFERROR(IF(INDEX('01_UngVien_PhongVan'!$E:$E,MATCH($B96,'01_UngVien_PhongVan'!$B:$B,0))=0,"",INDEX('01_UngVien_PhongVan'!$E:$E,MATCH($B96,'01_UngVien_PhongVan'!$B:$B,0))),""))</f>
      </c>
      <c r="N96" s="60">
        <f t="array" ref="N96">IF($B96="","",IFERROR(IF(INDEX('01_UngVien_PhongVan'!$M:$M,MATCH($B96,'01_UngVien_PhongVan'!$B:$B,0))=0,"",INDEX('01_UngVien_PhongVan'!$M:$M,MATCH($B96,'01_UngVien_PhongVan'!$B:$B,0))),""))</f>
      </c>
      <c r="O96" s="60">
        <f t="array" ref="O96">IF($B96="","",IFERROR(IF(INDEX('01_UngVien_PhongVan'!$N:$N,MATCH($B96,'01_UngVien_PhongVan'!$B:$B,0))=0,"",INDEX('01_UngVien_PhongVan'!$N:$N,MATCH($B96,'01_UngVien_PhongVan'!$B:$B,0))),""))</f>
      </c>
      <c r="P96" s="60">
        <f t="array" ref="P96">IF($B96="","",IFERROR(IF(INDEX('01_UngVien_PhongVan'!$O:$O,MATCH($B96,'01_UngVien_PhongVan'!$B:$B,0))=0,"",INDEX('01_UngVien_PhongVan'!$O:$O,MATCH($B96,'01_UngVien_PhongVan'!$B:$B,0))),""))</f>
      </c>
      <c r="Q96" s="60">
        <f t="array" ref="Q96">IF($B96="","",IFERROR(IF(INDEX('01_UngVien_PhongVan'!$P:$P,MATCH($B96,'01_UngVien_PhongVan'!$B:$B,0))=0,"",INDEX('01_UngVien_PhongVan'!$P:$P,MATCH($B96,'01_UngVien_PhongVan'!$B:$B,0))),""))</f>
      </c>
      <c r="R96" s="60">
        <f t="array" ref="R96">IF($B96="","",IFERROR(IF(INDEX('01_UngVien_PhongVan'!$Q:$Q,MATCH($B96,'01_UngVien_PhongVan'!$B:$B,0))=0,"",INDEX('01_UngVien_PhongVan'!$Q:$Q,MATCH($B96,'01_UngVien_PhongVan'!$B:$B,0))),""))</f>
      </c>
      <c r="S96" s="60">
        <f t="array" ref="S96">IF($B96="","",IFERROR(IF(INDEX('01_UngVien_PhongVan'!$R:$R,MATCH($B96,'01_UngVien_PhongVan'!$B:$B,0))=0,"",INDEX('01_UngVien_PhongVan'!$R:$R,MATCH($B96,'01_UngVien_PhongVan'!$B:$B,0))),""))</f>
      </c>
      <c r="T96" s="60">
        <f t="array" ref="T96">IF($B96="","",IFERROR(IF(INDEX('01_UngVien_PhongVan'!$U:$U,MATCH($B96,'01_UngVien_PhongVan'!$B:$B,0))=0,"",INDEX('01_UngVien_PhongVan'!$U:$U,MATCH($B96,'01_UngVien_PhongVan'!$B:$B,0))),""))</f>
      </c>
      <c r="U96" s="73">
        <f t="array" ref="U96">IF($B96="","",IFERROR(IF(INDEX('01_UngVien_PhongVan'!$C:$C,MATCH($B96,'01_UngVien_PhongVan'!$B:$B,0))=0,"",INDEX('01_UngVien_PhongVan'!$C:$C,MATCH($B96,'01_UngVien_PhongVan'!$B:$B,0))),""))</f>
      </c>
      <c r="V96" s="73">
        <f t="array" ref="V96">IF($B96="","",IFERROR(IF(INDEX('02_DS_Nhan_Viec'!$D:$D,MATCH($B96,'02_DS_Nhan_Viec'!$B:$B,0))=0,"",INDEX('02_DS_Nhan_Viec'!$D:$D,MATCH($B96,'02_DS_Nhan_Viec'!$B:$B,0))),""))</f>
      </c>
      <c r="W96" s="73">
        <f t="array" ref="W96">IF($B96="","",IFERROR(IF(INDEX('02_DS_Nhan_Viec'!$E:$E,MATCH($B96,'02_DS_Nhan_Viec'!$B:$B,0))=0,"",INDEX('02_DS_Nhan_Viec'!$E:$E,MATCH($B96,'02_DS_Nhan_Viec'!$B:$B,0))),""))</f>
      </c>
      <c r="X96" s="73">
        <f t="array" ref="X96">IF($C96="","",IFERROR(IF(INDEX('05_Theo_Doi_Gio_Cong_7_Ngay'!$P:$P,MATCH($C96,'05_Theo_Doi_Gio_Cong_7_Ngay'!$B:$B,0))=0,"",INDEX('05_Theo_Doi_Gio_Cong_7_Ngay'!$P:$P,MATCH($C96,'05_Theo_Doi_Gio_Cong_7_Ngay'!$B:$B,0))),""))</f>
      </c>
      <c r="Y96" s="60">
        <f t="array" ref="Y96">IF($C96="","",IFERROR(IF(INDEX('05_Theo_Doi_Gio_Cong_7_Ngay'!$M:$M,MATCH($C96,'05_Theo_Doi_Gio_Cong_7_Ngay'!$B:$B,0))=0,"",INDEX('05_Theo_Doi_Gio_Cong_7_Ngay'!$M:$M,MATCH($C96,'05_Theo_Doi_Gio_Cong_7_Ngay'!$B:$B,0))),""))</f>
      </c>
      <c r="Z96" s="60">
        <f t="array" ref="Z96">IF($C96="","",IFERROR(IF(INDEX('05_Theo_Doi_Gio_Cong_7_Ngay'!$Q:$Q,MATCH($C96,'05_Theo_Doi_Gio_Cong_7_Ngay'!$B:$B,0))=0,"",INDEX('05_Theo_Doi_Gio_Cong_7_Ngay'!$Q:$Q,MATCH($C96,'05_Theo_Doi_Gio_Cong_7_Ngay'!$B:$B,0))),""))</f>
      </c>
      <c r="AA96" s="60">
        <f t="array" ref="AA96">IF($B96="","",IFERROR(IF(INDEX('02_DS_Nhan_Viec'!$H:$H,MATCH($B96,'02_DS_Nhan_Viec'!$B:$B,0))=0,"",INDEX('02_DS_Nhan_Viec'!$H:$H,MATCH($B96,'02_DS_Nhan_Viec'!$B:$B,0))),""))</f>
      </c>
      <c r="AB96" s="60">
        <f t="array" ref="AB96">IF($B96="","",IFERROR(IF(INDEX('02_DS_Nhan_Viec'!$I:$I,MATCH($B96,'02_DS_Nhan_Viec'!$B:$B,0))=0,"",INDEX('02_DS_Nhan_Viec'!$I:$I,MATCH($B96,'02_DS_Nhan_Viec'!$B:$B,0))),""))</f>
      </c>
      <c r="AC96" s="61">
        <f t="array" ref="AC96">IF($B96="","",IF($C96="","Đang theo dõi",IF(OR(IFERROR(INDEX('05_Theo_Doi_Gio_Cong_7_Ngay'!$R:$R,MATCH($C96,'05_Theo_Doi_Gio_Cong_7_Ngay'!$B:$B,0)),"")="",IFERROR(INDEX('05_Theo_Doi_Gio_Cong_7_Ngay'!$R:$R,MATCH($C96,'05_Theo_Doi_Gio_Cong_7_Ngay'!$B:$B,0)),0)=0),"Đang theo dõi",IFERROR(INDEX('06_DS_Chinh_Thuc'!$K:$K,MATCH(IFERROR(INDEX('05_Theo_Doi_Gio_Cong_7_Ngay'!$R:$R,MATCH($C96,'05_Theo_Doi_Gio_Cong_7_Ngay'!$B:$B,0)),0),'06_DS_Chinh_Thuc'!$B:$B,0)),"Đang theo dõi"))))</f>
      </c>
    </row>
    <row r="97" ht="14.25" customHeight="1" spans="1:29" x14ac:dyDescent="0.25">
      <c r="A97" s="52">
        <f t="shared" si="0"/>
      </c>
      <c r="B97" s="52">
        <f t="array" ref="B97">IFERROR(INDEX('02_DS_Nhan_Viec'!$B:$B,MATCH(96,'02_DS_Nhan_Viec'!$M:$M,0)),"")</f>
      </c>
      <c r="C97" s="52">
        <f t="array" ref="C97">IF($B97="","",IFERROR(IF(INDEX('02_DS_Nhan_Viec'!$J:$J,MATCH($B97,'02_DS_Nhan_Viec'!$B:$B,0))=0,"",INDEX('02_DS_Nhan_Viec'!$J:$J,MATCH($B97,'02_DS_Nhan_Viec'!$B:$B,0))),""))</f>
      </c>
      <c r="D97" s="52">
        <f t="array" ref="D97">IF($C97="","",IFERROR(IF(INDEX('05_Theo_Doi_Gio_Cong_7_Ngay'!$R:$R,MATCH($C97,'05_Theo_Doi_Gio_Cong_7_Ngay'!$B:$B,0))=0,"",INDEX('05_Theo_Doi_Gio_Cong_7_Ngay'!$R:$R,MATCH($C97,'05_Theo_Doi_Gio_Cong_7_Ngay'!$B:$B,0))),""))</f>
      </c>
      <c r="E97" s="60">
        <f t="array" ref="E97">IF($B97="","",IFERROR(IF(INDEX('01_UngVien_PhongVan'!$D:$D,MATCH($B97,'01_UngVien_PhongVan'!$B:$B,0))=0,"",INDEX('01_UngVien_PhongVan'!$D:$D,MATCH($B97,'01_UngVien_PhongVan'!$B:$B,0))),""))</f>
      </c>
      <c r="F97" s="52">
        <f t="array" ref="F97">IF($B97="","",IFERROR(IF(INDEX('01_UngVien_PhongVan'!$F:$F,MATCH($B97,'01_UngVien_PhongVan'!$B:$B,0))=0,"",INDEX('01_UngVien_PhongVan'!$F:$F,MATCH($B97,'01_UngVien_PhongVan'!$B:$B,0))),""))</f>
      </c>
      <c r="G97" s="72">
        <f t="array" ref="G97">IF($B97="","",IFERROR(IF(INDEX('01_UngVien_PhongVan'!$G:$G,MATCH($B97,'01_UngVien_PhongVan'!$B:$B,0))=0,"",INDEX('01_UngVien_PhongVan'!$G:$G,MATCH($B97,'01_UngVien_PhongVan'!$B:$B,0))),""))</f>
      </c>
      <c r="H97" s="52">
        <f t="array" ref="H97">IF($B97="","",IFERROR(IF(INDEX('01_UngVien_PhongVan'!$H:$H,MATCH($B97,'01_UngVien_PhongVan'!$B:$B,0))=0,"",INDEX('01_UngVien_PhongVan'!$H:$H,MATCH($B97,'01_UngVien_PhongVan'!$B:$B,0))),""))</f>
      </c>
      <c r="I97" s="60">
        <f t="array" ref="I97">IF($B97="","",IFERROR(IF(INDEX('01_UngVien_PhongVan'!$I:$I,MATCH($B97,'01_UngVien_PhongVan'!$B:$B,0))=0,"",INDEX('01_UngVien_PhongVan'!$I:$I,MATCH($B97,'01_UngVien_PhongVan'!$B:$B,0))),""))</f>
      </c>
      <c r="J97" s="60">
        <f t="array" ref="J97">IF($B97="","",IFERROR(IF(INDEX('01_UngVien_PhongVan'!$J:$J,MATCH($B97,'01_UngVien_PhongVan'!$B:$B,0))=0,"",INDEX('01_UngVien_PhongVan'!$J:$J,MATCH($B97,'01_UngVien_PhongVan'!$B:$B,0))),""))</f>
      </c>
      <c r="K97" s="73">
        <f t="array" ref="K97">IF($B97="","",IFERROR(IF(INDEX('01_UngVien_PhongVan'!$K:$K,MATCH($B97,'01_UngVien_PhongVan'!$B:$B,0))=0,"",INDEX('01_UngVien_PhongVan'!$K:$K,MATCH($B97,'01_UngVien_PhongVan'!$B:$B,0))),""))</f>
      </c>
      <c r="L97" s="60">
        <f t="array" ref="L97">IF($B97="","",IFERROR(IF(INDEX('01_UngVien_PhongVan'!$L:$L,MATCH($B97,'01_UngVien_PhongVan'!$B:$B,0))=0,"",INDEX('01_UngVien_PhongVan'!$L:$L,MATCH($B97,'01_UngVien_PhongVan'!$B:$B,0))),""))</f>
      </c>
      <c r="M97" s="60">
        <f t="array" ref="M97">IF($B97="","",IFERROR(IF(INDEX('01_UngVien_PhongVan'!$E:$E,MATCH($B97,'01_UngVien_PhongVan'!$B:$B,0))=0,"",INDEX('01_UngVien_PhongVan'!$E:$E,MATCH($B97,'01_UngVien_PhongVan'!$B:$B,0))),""))</f>
      </c>
      <c r="N97" s="60">
        <f t="array" ref="N97">IF($B97="","",IFERROR(IF(INDEX('01_UngVien_PhongVan'!$M:$M,MATCH($B97,'01_UngVien_PhongVan'!$B:$B,0))=0,"",INDEX('01_UngVien_PhongVan'!$M:$M,MATCH($B97,'01_UngVien_PhongVan'!$B:$B,0))),""))</f>
      </c>
      <c r="O97" s="60">
        <f t="array" ref="O97">IF($B97="","",IFERROR(IF(INDEX('01_UngVien_PhongVan'!$N:$N,MATCH($B97,'01_UngVien_PhongVan'!$B:$B,0))=0,"",INDEX('01_UngVien_PhongVan'!$N:$N,MATCH($B97,'01_UngVien_PhongVan'!$B:$B,0))),""))</f>
      </c>
      <c r="P97" s="60">
        <f t="array" ref="P97">IF($B97="","",IFERROR(IF(INDEX('01_UngVien_PhongVan'!$O:$O,MATCH($B97,'01_UngVien_PhongVan'!$B:$B,0))=0,"",INDEX('01_UngVien_PhongVan'!$O:$O,MATCH($B97,'01_UngVien_PhongVan'!$B:$B,0))),""))</f>
      </c>
      <c r="Q97" s="60">
        <f t="array" ref="Q97">IF($B97="","",IFERROR(IF(INDEX('01_UngVien_PhongVan'!$P:$P,MATCH($B97,'01_UngVien_PhongVan'!$B:$B,0))=0,"",INDEX('01_UngVien_PhongVan'!$P:$P,MATCH($B97,'01_UngVien_PhongVan'!$B:$B,0))),""))</f>
      </c>
      <c r="R97" s="60">
        <f t="array" ref="R97">IF($B97="","",IFERROR(IF(INDEX('01_UngVien_PhongVan'!$Q:$Q,MATCH($B97,'01_UngVien_PhongVan'!$B:$B,0))=0,"",INDEX('01_UngVien_PhongVan'!$Q:$Q,MATCH($B97,'01_UngVien_PhongVan'!$B:$B,0))),""))</f>
      </c>
      <c r="S97" s="60">
        <f t="array" ref="S97">IF($B97="","",IFERROR(IF(INDEX('01_UngVien_PhongVan'!$R:$R,MATCH($B97,'01_UngVien_PhongVan'!$B:$B,0))=0,"",INDEX('01_UngVien_PhongVan'!$R:$R,MATCH($B97,'01_UngVien_PhongVan'!$B:$B,0))),""))</f>
      </c>
      <c r="T97" s="60">
        <f t="array" ref="T97">IF($B97="","",IFERROR(IF(INDEX('01_UngVien_PhongVan'!$U:$U,MATCH($B97,'01_UngVien_PhongVan'!$B:$B,0))=0,"",INDEX('01_UngVien_PhongVan'!$U:$U,MATCH($B97,'01_UngVien_PhongVan'!$B:$B,0))),""))</f>
      </c>
      <c r="U97" s="73">
        <f t="array" ref="U97">IF($B97="","",IFERROR(IF(INDEX('01_UngVien_PhongVan'!$C:$C,MATCH($B97,'01_UngVien_PhongVan'!$B:$B,0))=0,"",INDEX('01_UngVien_PhongVan'!$C:$C,MATCH($B97,'01_UngVien_PhongVan'!$B:$B,0))),""))</f>
      </c>
      <c r="V97" s="73">
        <f t="array" ref="V97">IF($B97="","",IFERROR(IF(INDEX('02_DS_Nhan_Viec'!$D:$D,MATCH($B97,'02_DS_Nhan_Viec'!$B:$B,0))=0,"",INDEX('02_DS_Nhan_Viec'!$D:$D,MATCH($B97,'02_DS_Nhan_Viec'!$B:$B,0))),""))</f>
      </c>
      <c r="W97" s="73">
        <f t="array" ref="W97">IF($B97="","",IFERROR(IF(INDEX('02_DS_Nhan_Viec'!$E:$E,MATCH($B97,'02_DS_Nhan_Viec'!$B:$B,0))=0,"",INDEX('02_DS_Nhan_Viec'!$E:$E,MATCH($B97,'02_DS_Nhan_Viec'!$B:$B,0))),""))</f>
      </c>
      <c r="X97" s="73">
        <f t="array" ref="X97">IF($C97="","",IFERROR(IF(INDEX('05_Theo_Doi_Gio_Cong_7_Ngay'!$P:$P,MATCH($C97,'05_Theo_Doi_Gio_Cong_7_Ngay'!$B:$B,0))=0,"",INDEX('05_Theo_Doi_Gio_Cong_7_Ngay'!$P:$P,MATCH($C97,'05_Theo_Doi_Gio_Cong_7_Ngay'!$B:$B,0))),""))</f>
      </c>
      <c r="Y97" s="60">
        <f t="array" ref="Y97">IF($C97="","",IFERROR(IF(INDEX('05_Theo_Doi_Gio_Cong_7_Ngay'!$M:$M,MATCH($C97,'05_Theo_Doi_Gio_Cong_7_Ngay'!$B:$B,0))=0,"",INDEX('05_Theo_Doi_Gio_Cong_7_Ngay'!$M:$M,MATCH($C97,'05_Theo_Doi_Gio_Cong_7_Ngay'!$B:$B,0))),""))</f>
      </c>
      <c r="Z97" s="60">
        <f t="array" ref="Z97">IF($C97="","",IFERROR(IF(INDEX('05_Theo_Doi_Gio_Cong_7_Ngay'!$Q:$Q,MATCH($C97,'05_Theo_Doi_Gio_Cong_7_Ngay'!$B:$B,0))=0,"",INDEX('05_Theo_Doi_Gio_Cong_7_Ngay'!$Q:$Q,MATCH($C97,'05_Theo_Doi_Gio_Cong_7_Ngay'!$B:$B,0))),""))</f>
      </c>
      <c r="AA97" s="60">
        <f t="array" ref="AA97">IF($B97="","",IFERROR(IF(INDEX('02_DS_Nhan_Viec'!$H:$H,MATCH($B97,'02_DS_Nhan_Viec'!$B:$B,0))=0,"",INDEX('02_DS_Nhan_Viec'!$H:$H,MATCH($B97,'02_DS_Nhan_Viec'!$B:$B,0))),""))</f>
      </c>
      <c r="AB97" s="60">
        <f t="array" ref="AB97">IF($B97="","",IFERROR(IF(INDEX('02_DS_Nhan_Viec'!$I:$I,MATCH($B97,'02_DS_Nhan_Viec'!$B:$B,0))=0,"",INDEX('02_DS_Nhan_Viec'!$I:$I,MATCH($B97,'02_DS_Nhan_Viec'!$B:$B,0))),""))</f>
      </c>
      <c r="AC97" s="61">
        <f t="array" ref="AC97">IF($B97="","",IF($C97="","Đang theo dõi",IF(OR(IFERROR(INDEX('05_Theo_Doi_Gio_Cong_7_Ngay'!$R:$R,MATCH($C97,'05_Theo_Doi_Gio_Cong_7_Ngay'!$B:$B,0)),"")="",IFERROR(INDEX('05_Theo_Doi_Gio_Cong_7_Ngay'!$R:$R,MATCH($C97,'05_Theo_Doi_Gio_Cong_7_Ngay'!$B:$B,0)),0)=0),"Đang theo dõi",IFERROR(INDEX('06_DS_Chinh_Thuc'!$K:$K,MATCH(IFERROR(INDEX('05_Theo_Doi_Gio_Cong_7_Ngay'!$R:$R,MATCH($C97,'05_Theo_Doi_Gio_Cong_7_Ngay'!$B:$B,0)),0),'06_DS_Chinh_Thuc'!$B:$B,0)),"Đang theo dõi"))))</f>
      </c>
    </row>
    <row r="98" ht="14.25" customHeight="1" spans="1:29" x14ac:dyDescent="0.25">
      <c r="A98" s="52">
        <f t="shared" si="0"/>
      </c>
      <c r="B98" s="52">
        <f t="array" ref="B98">IFERROR(INDEX('02_DS_Nhan_Viec'!$B:$B,MATCH(97,'02_DS_Nhan_Viec'!$M:$M,0)),"")</f>
      </c>
      <c r="C98" s="52">
        <f t="array" ref="C98">IF($B98="","",IFERROR(IF(INDEX('02_DS_Nhan_Viec'!$J:$J,MATCH($B98,'02_DS_Nhan_Viec'!$B:$B,0))=0,"",INDEX('02_DS_Nhan_Viec'!$J:$J,MATCH($B98,'02_DS_Nhan_Viec'!$B:$B,0))),""))</f>
      </c>
      <c r="D98" s="52">
        <f t="array" ref="D98">IF($C98="","",IFERROR(IF(INDEX('05_Theo_Doi_Gio_Cong_7_Ngay'!$R:$R,MATCH($C98,'05_Theo_Doi_Gio_Cong_7_Ngay'!$B:$B,0))=0,"",INDEX('05_Theo_Doi_Gio_Cong_7_Ngay'!$R:$R,MATCH($C98,'05_Theo_Doi_Gio_Cong_7_Ngay'!$B:$B,0))),""))</f>
      </c>
      <c r="E98" s="60">
        <f t="array" ref="E98">IF($B98="","",IFERROR(IF(INDEX('01_UngVien_PhongVan'!$D:$D,MATCH($B98,'01_UngVien_PhongVan'!$B:$B,0))=0,"",INDEX('01_UngVien_PhongVan'!$D:$D,MATCH($B98,'01_UngVien_PhongVan'!$B:$B,0))),""))</f>
      </c>
      <c r="F98" s="52">
        <f t="array" ref="F98">IF($B98="","",IFERROR(IF(INDEX('01_UngVien_PhongVan'!$F:$F,MATCH($B98,'01_UngVien_PhongVan'!$B:$B,0))=0,"",INDEX('01_UngVien_PhongVan'!$F:$F,MATCH($B98,'01_UngVien_PhongVan'!$B:$B,0))),""))</f>
      </c>
      <c r="G98" s="72">
        <f t="array" ref="G98">IF($B98="","",IFERROR(IF(INDEX('01_UngVien_PhongVan'!$G:$G,MATCH($B98,'01_UngVien_PhongVan'!$B:$B,0))=0,"",INDEX('01_UngVien_PhongVan'!$G:$G,MATCH($B98,'01_UngVien_PhongVan'!$B:$B,0))),""))</f>
      </c>
      <c r="H98" s="52">
        <f t="array" ref="H98">IF($B98="","",IFERROR(IF(INDEX('01_UngVien_PhongVan'!$H:$H,MATCH($B98,'01_UngVien_PhongVan'!$B:$B,0))=0,"",INDEX('01_UngVien_PhongVan'!$H:$H,MATCH($B98,'01_UngVien_PhongVan'!$B:$B,0))),""))</f>
      </c>
      <c r="I98" s="60">
        <f t="array" ref="I98">IF($B98="","",IFERROR(IF(INDEX('01_UngVien_PhongVan'!$I:$I,MATCH($B98,'01_UngVien_PhongVan'!$B:$B,0))=0,"",INDEX('01_UngVien_PhongVan'!$I:$I,MATCH($B98,'01_UngVien_PhongVan'!$B:$B,0))),""))</f>
      </c>
      <c r="J98" s="60">
        <f t="array" ref="J98">IF($B98="","",IFERROR(IF(INDEX('01_UngVien_PhongVan'!$J:$J,MATCH($B98,'01_UngVien_PhongVan'!$B:$B,0))=0,"",INDEX('01_UngVien_PhongVan'!$J:$J,MATCH($B98,'01_UngVien_PhongVan'!$B:$B,0))),""))</f>
      </c>
      <c r="K98" s="73">
        <f t="array" ref="K98">IF($B98="","",IFERROR(IF(INDEX('01_UngVien_PhongVan'!$K:$K,MATCH($B98,'01_UngVien_PhongVan'!$B:$B,0))=0,"",INDEX('01_UngVien_PhongVan'!$K:$K,MATCH($B98,'01_UngVien_PhongVan'!$B:$B,0))),""))</f>
      </c>
      <c r="L98" s="60">
        <f t="array" ref="L98">IF($B98="","",IFERROR(IF(INDEX('01_UngVien_PhongVan'!$L:$L,MATCH($B98,'01_UngVien_PhongVan'!$B:$B,0))=0,"",INDEX('01_UngVien_PhongVan'!$L:$L,MATCH($B98,'01_UngVien_PhongVan'!$B:$B,0))),""))</f>
      </c>
      <c r="M98" s="60">
        <f t="array" ref="M98">IF($B98="","",IFERROR(IF(INDEX('01_UngVien_PhongVan'!$E:$E,MATCH($B98,'01_UngVien_PhongVan'!$B:$B,0))=0,"",INDEX('01_UngVien_PhongVan'!$E:$E,MATCH($B98,'01_UngVien_PhongVan'!$B:$B,0))),""))</f>
      </c>
      <c r="N98" s="60">
        <f t="array" ref="N98">IF($B98="","",IFERROR(IF(INDEX('01_UngVien_PhongVan'!$M:$M,MATCH($B98,'01_UngVien_PhongVan'!$B:$B,0))=0,"",INDEX('01_UngVien_PhongVan'!$M:$M,MATCH($B98,'01_UngVien_PhongVan'!$B:$B,0))),""))</f>
      </c>
      <c r="O98" s="60">
        <f t="array" ref="O98">IF($B98="","",IFERROR(IF(INDEX('01_UngVien_PhongVan'!$N:$N,MATCH($B98,'01_UngVien_PhongVan'!$B:$B,0))=0,"",INDEX('01_UngVien_PhongVan'!$N:$N,MATCH($B98,'01_UngVien_PhongVan'!$B:$B,0))),""))</f>
      </c>
      <c r="P98" s="60">
        <f t="array" ref="P98">IF($B98="","",IFERROR(IF(INDEX('01_UngVien_PhongVan'!$O:$O,MATCH($B98,'01_UngVien_PhongVan'!$B:$B,0))=0,"",INDEX('01_UngVien_PhongVan'!$O:$O,MATCH($B98,'01_UngVien_PhongVan'!$B:$B,0))),""))</f>
      </c>
      <c r="Q98" s="60">
        <f t="array" ref="Q98">IF($B98="","",IFERROR(IF(INDEX('01_UngVien_PhongVan'!$P:$P,MATCH($B98,'01_UngVien_PhongVan'!$B:$B,0))=0,"",INDEX('01_UngVien_PhongVan'!$P:$P,MATCH($B98,'01_UngVien_PhongVan'!$B:$B,0))),""))</f>
      </c>
      <c r="R98" s="60">
        <f t="array" ref="R98">IF($B98="","",IFERROR(IF(INDEX('01_UngVien_PhongVan'!$Q:$Q,MATCH($B98,'01_UngVien_PhongVan'!$B:$B,0))=0,"",INDEX('01_UngVien_PhongVan'!$Q:$Q,MATCH($B98,'01_UngVien_PhongVan'!$B:$B,0))),""))</f>
      </c>
      <c r="S98" s="60">
        <f t="array" ref="S98">IF($B98="","",IFERROR(IF(INDEX('01_UngVien_PhongVan'!$R:$R,MATCH($B98,'01_UngVien_PhongVan'!$B:$B,0))=0,"",INDEX('01_UngVien_PhongVan'!$R:$R,MATCH($B98,'01_UngVien_PhongVan'!$B:$B,0))),""))</f>
      </c>
      <c r="T98" s="60">
        <f t="array" ref="T98">IF($B98="","",IFERROR(IF(INDEX('01_UngVien_PhongVan'!$U:$U,MATCH($B98,'01_UngVien_PhongVan'!$B:$B,0))=0,"",INDEX('01_UngVien_PhongVan'!$U:$U,MATCH($B98,'01_UngVien_PhongVan'!$B:$B,0))),""))</f>
      </c>
      <c r="U98" s="73">
        <f t="array" ref="U98">IF($B98="","",IFERROR(IF(INDEX('01_UngVien_PhongVan'!$C:$C,MATCH($B98,'01_UngVien_PhongVan'!$B:$B,0))=0,"",INDEX('01_UngVien_PhongVan'!$C:$C,MATCH($B98,'01_UngVien_PhongVan'!$B:$B,0))),""))</f>
      </c>
      <c r="V98" s="73">
        <f t="array" ref="V98">IF($B98="","",IFERROR(IF(INDEX('02_DS_Nhan_Viec'!$D:$D,MATCH($B98,'02_DS_Nhan_Viec'!$B:$B,0))=0,"",INDEX('02_DS_Nhan_Viec'!$D:$D,MATCH($B98,'02_DS_Nhan_Viec'!$B:$B,0))),""))</f>
      </c>
      <c r="W98" s="73">
        <f t="array" ref="W98">IF($B98="","",IFERROR(IF(INDEX('02_DS_Nhan_Viec'!$E:$E,MATCH($B98,'02_DS_Nhan_Viec'!$B:$B,0))=0,"",INDEX('02_DS_Nhan_Viec'!$E:$E,MATCH($B98,'02_DS_Nhan_Viec'!$B:$B,0))),""))</f>
      </c>
      <c r="X98" s="73">
        <f t="array" ref="X98">IF($C98="","",IFERROR(IF(INDEX('05_Theo_Doi_Gio_Cong_7_Ngay'!$P:$P,MATCH($C98,'05_Theo_Doi_Gio_Cong_7_Ngay'!$B:$B,0))=0,"",INDEX('05_Theo_Doi_Gio_Cong_7_Ngay'!$P:$P,MATCH($C98,'05_Theo_Doi_Gio_Cong_7_Ngay'!$B:$B,0))),""))</f>
      </c>
      <c r="Y98" s="60">
        <f t="array" ref="Y98">IF($C98="","",IFERROR(IF(INDEX('05_Theo_Doi_Gio_Cong_7_Ngay'!$M:$M,MATCH($C98,'05_Theo_Doi_Gio_Cong_7_Ngay'!$B:$B,0))=0,"",INDEX('05_Theo_Doi_Gio_Cong_7_Ngay'!$M:$M,MATCH($C98,'05_Theo_Doi_Gio_Cong_7_Ngay'!$B:$B,0))),""))</f>
      </c>
      <c r="Z98" s="60">
        <f t="array" ref="Z98">IF($C98="","",IFERROR(IF(INDEX('05_Theo_Doi_Gio_Cong_7_Ngay'!$Q:$Q,MATCH($C98,'05_Theo_Doi_Gio_Cong_7_Ngay'!$B:$B,0))=0,"",INDEX('05_Theo_Doi_Gio_Cong_7_Ngay'!$Q:$Q,MATCH($C98,'05_Theo_Doi_Gio_Cong_7_Ngay'!$B:$B,0))),""))</f>
      </c>
      <c r="AA98" s="60">
        <f t="array" ref="AA98">IF($B98="","",IFERROR(IF(INDEX('02_DS_Nhan_Viec'!$H:$H,MATCH($B98,'02_DS_Nhan_Viec'!$B:$B,0))=0,"",INDEX('02_DS_Nhan_Viec'!$H:$H,MATCH($B98,'02_DS_Nhan_Viec'!$B:$B,0))),""))</f>
      </c>
      <c r="AB98" s="60">
        <f t="array" ref="AB98">IF($B98="","",IFERROR(IF(INDEX('02_DS_Nhan_Viec'!$I:$I,MATCH($B98,'02_DS_Nhan_Viec'!$B:$B,0))=0,"",INDEX('02_DS_Nhan_Viec'!$I:$I,MATCH($B98,'02_DS_Nhan_Viec'!$B:$B,0))),""))</f>
      </c>
      <c r="AC98" s="61">
        <f t="array" ref="AC98">IF($B98="","",IF($C98="","Đang theo dõi",IF(OR(IFERROR(INDEX('05_Theo_Doi_Gio_Cong_7_Ngay'!$R:$R,MATCH($C98,'05_Theo_Doi_Gio_Cong_7_Ngay'!$B:$B,0)),"")="",IFERROR(INDEX('05_Theo_Doi_Gio_Cong_7_Ngay'!$R:$R,MATCH($C98,'05_Theo_Doi_Gio_Cong_7_Ngay'!$B:$B,0)),0)=0),"Đang theo dõi",IFERROR(INDEX('06_DS_Chinh_Thuc'!$K:$K,MATCH(IFERROR(INDEX('05_Theo_Doi_Gio_Cong_7_Ngay'!$R:$R,MATCH($C98,'05_Theo_Doi_Gio_Cong_7_Ngay'!$B:$B,0)),0),'06_DS_Chinh_Thuc'!$B:$B,0)),"Đang theo dõi"))))</f>
      </c>
    </row>
    <row r="99" ht="14.25" customHeight="1" spans="1:29" x14ac:dyDescent="0.25">
      <c r="A99" s="52">
        <f t="shared" si="0"/>
      </c>
      <c r="B99" s="52">
        <f t="array" ref="B99">IFERROR(INDEX('02_DS_Nhan_Viec'!$B:$B,MATCH(98,'02_DS_Nhan_Viec'!$M:$M,0)),"")</f>
      </c>
      <c r="C99" s="52">
        <f t="array" ref="C99">IF($B99="","",IFERROR(IF(INDEX('02_DS_Nhan_Viec'!$J:$J,MATCH($B99,'02_DS_Nhan_Viec'!$B:$B,0))=0,"",INDEX('02_DS_Nhan_Viec'!$J:$J,MATCH($B99,'02_DS_Nhan_Viec'!$B:$B,0))),""))</f>
      </c>
      <c r="D99" s="52">
        <f t="array" ref="D99">IF($C99="","",IFERROR(IF(INDEX('05_Theo_Doi_Gio_Cong_7_Ngay'!$R:$R,MATCH($C99,'05_Theo_Doi_Gio_Cong_7_Ngay'!$B:$B,0))=0,"",INDEX('05_Theo_Doi_Gio_Cong_7_Ngay'!$R:$R,MATCH($C99,'05_Theo_Doi_Gio_Cong_7_Ngay'!$B:$B,0))),""))</f>
      </c>
      <c r="E99" s="60">
        <f t="array" ref="E99">IF($B99="","",IFERROR(IF(INDEX('01_UngVien_PhongVan'!$D:$D,MATCH($B99,'01_UngVien_PhongVan'!$B:$B,0))=0,"",INDEX('01_UngVien_PhongVan'!$D:$D,MATCH($B99,'01_UngVien_PhongVan'!$B:$B,0))),""))</f>
      </c>
      <c r="F99" s="52">
        <f t="array" ref="F99">IF($B99="","",IFERROR(IF(INDEX('01_UngVien_PhongVan'!$F:$F,MATCH($B99,'01_UngVien_PhongVan'!$B:$B,0))=0,"",INDEX('01_UngVien_PhongVan'!$F:$F,MATCH($B99,'01_UngVien_PhongVan'!$B:$B,0))),""))</f>
      </c>
      <c r="G99" s="72">
        <f t="array" ref="G99">IF($B99="","",IFERROR(IF(INDEX('01_UngVien_PhongVan'!$G:$G,MATCH($B99,'01_UngVien_PhongVan'!$B:$B,0))=0,"",INDEX('01_UngVien_PhongVan'!$G:$G,MATCH($B99,'01_UngVien_PhongVan'!$B:$B,0))),""))</f>
      </c>
      <c r="H99" s="52">
        <f t="array" ref="H99">IF($B99="","",IFERROR(IF(INDEX('01_UngVien_PhongVan'!$H:$H,MATCH($B99,'01_UngVien_PhongVan'!$B:$B,0))=0,"",INDEX('01_UngVien_PhongVan'!$H:$H,MATCH($B99,'01_UngVien_PhongVan'!$B:$B,0))),""))</f>
      </c>
      <c r="I99" s="60">
        <f t="array" ref="I99">IF($B99="","",IFERROR(IF(INDEX('01_UngVien_PhongVan'!$I:$I,MATCH($B99,'01_UngVien_PhongVan'!$B:$B,0))=0,"",INDEX('01_UngVien_PhongVan'!$I:$I,MATCH($B99,'01_UngVien_PhongVan'!$B:$B,0))),""))</f>
      </c>
      <c r="J99" s="60">
        <f t="array" ref="J99">IF($B99="","",IFERROR(IF(INDEX('01_UngVien_PhongVan'!$J:$J,MATCH($B99,'01_UngVien_PhongVan'!$B:$B,0))=0,"",INDEX('01_UngVien_PhongVan'!$J:$J,MATCH($B99,'01_UngVien_PhongVan'!$B:$B,0))),""))</f>
      </c>
      <c r="K99" s="73">
        <f t="array" ref="K99">IF($B99="","",IFERROR(IF(INDEX('01_UngVien_PhongVan'!$K:$K,MATCH($B99,'01_UngVien_PhongVan'!$B:$B,0))=0,"",INDEX('01_UngVien_PhongVan'!$K:$K,MATCH($B99,'01_UngVien_PhongVan'!$B:$B,0))),""))</f>
      </c>
      <c r="L99" s="60">
        <f t="array" ref="L99">IF($B99="","",IFERROR(IF(INDEX('01_UngVien_PhongVan'!$L:$L,MATCH($B99,'01_UngVien_PhongVan'!$B:$B,0))=0,"",INDEX('01_UngVien_PhongVan'!$L:$L,MATCH($B99,'01_UngVien_PhongVan'!$B:$B,0))),""))</f>
      </c>
      <c r="M99" s="60">
        <f t="array" ref="M99">IF($B99="","",IFERROR(IF(INDEX('01_UngVien_PhongVan'!$E:$E,MATCH($B99,'01_UngVien_PhongVan'!$B:$B,0))=0,"",INDEX('01_UngVien_PhongVan'!$E:$E,MATCH($B99,'01_UngVien_PhongVan'!$B:$B,0))),""))</f>
      </c>
      <c r="N99" s="60">
        <f t="array" ref="N99">IF($B99="","",IFERROR(IF(INDEX('01_UngVien_PhongVan'!$M:$M,MATCH($B99,'01_UngVien_PhongVan'!$B:$B,0))=0,"",INDEX('01_UngVien_PhongVan'!$M:$M,MATCH($B99,'01_UngVien_PhongVan'!$B:$B,0))),""))</f>
      </c>
      <c r="O99" s="60">
        <f t="array" ref="O99">IF($B99="","",IFERROR(IF(INDEX('01_UngVien_PhongVan'!$N:$N,MATCH($B99,'01_UngVien_PhongVan'!$B:$B,0))=0,"",INDEX('01_UngVien_PhongVan'!$N:$N,MATCH($B99,'01_UngVien_PhongVan'!$B:$B,0))),""))</f>
      </c>
      <c r="P99" s="60">
        <f t="array" ref="P99">IF($B99="","",IFERROR(IF(INDEX('01_UngVien_PhongVan'!$O:$O,MATCH($B99,'01_UngVien_PhongVan'!$B:$B,0))=0,"",INDEX('01_UngVien_PhongVan'!$O:$O,MATCH($B99,'01_UngVien_PhongVan'!$B:$B,0))),""))</f>
      </c>
      <c r="Q99" s="60">
        <f t="array" ref="Q99">IF($B99="","",IFERROR(IF(INDEX('01_UngVien_PhongVan'!$P:$P,MATCH($B99,'01_UngVien_PhongVan'!$B:$B,0))=0,"",INDEX('01_UngVien_PhongVan'!$P:$P,MATCH($B99,'01_UngVien_PhongVan'!$B:$B,0))),""))</f>
      </c>
      <c r="R99" s="60">
        <f t="array" ref="R99">IF($B99="","",IFERROR(IF(INDEX('01_UngVien_PhongVan'!$Q:$Q,MATCH($B99,'01_UngVien_PhongVan'!$B:$B,0))=0,"",INDEX('01_UngVien_PhongVan'!$Q:$Q,MATCH($B99,'01_UngVien_PhongVan'!$B:$B,0))),""))</f>
      </c>
      <c r="S99" s="60">
        <f t="array" ref="S99">IF($B99="","",IFERROR(IF(INDEX('01_UngVien_PhongVan'!$R:$R,MATCH($B99,'01_UngVien_PhongVan'!$B:$B,0))=0,"",INDEX('01_UngVien_PhongVan'!$R:$R,MATCH($B99,'01_UngVien_PhongVan'!$B:$B,0))),""))</f>
      </c>
      <c r="T99" s="60">
        <f t="array" ref="T99">IF($B99="","",IFERROR(IF(INDEX('01_UngVien_PhongVan'!$U:$U,MATCH($B99,'01_UngVien_PhongVan'!$B:$B,0))=0,"",INDEX('01_UngVien_PhongVan'!$U:$U,MATCH($B99,'01_UngVien_PhongVan'!$B:$B,0))),""))</f>
      </c>
      <c r="U99" s="73">
        <f t="array" ref="U99">IF($B99="","",IFERROR(IF(INDEX('01_UngVien_PhongVan'!$C:$C,MATCH($B99,'01_UngVien_PhongVan'!$B:$B,0))=0,"",INDEX('01_UngVien_PhongVan'!$C:$C,MATCH($B99,'01_UngVien_PhongVan'!$B:$B,0))),""))</f>
      </c>
      <c r="V99" s="73">
        <f t="array" ref="V99">IF($B99="","",IFERROR(IF(INDEX('02_DS_Nhan_Viec'!$D:$D,MATCH($B99,'02_DS_Nhan_Viec'!$B:$B,0))=0,"",INDEX('02_DS_Nhan_Viec'!$D:$D,MATCH($B99,'02_DS_Nhan_Viec'!$B:$B,0))),""))</f>
      </c>
      <c r="W99" s="73">
        <f t="array" ref="W99">IF($B99="","",IFERROR(IF(INDEX('02_DS_Nhan_Viec'!$E:$E,MATCH($B99,'02_DS_Nhan_Viec'!$B:$B,0))=0,"",INDEX('02_DS_Nhan_Viec'!$E:$E,MATCH($B99,'02_DS_Nhan_Viec'!$B:$B,0))),""))</f>
      </c>
      <c r="X99" s="73">
        <f t="array" ref="X99">IF($C99="","",IFERROR(IF(INDEX('05_Theo_Doi_Gio_Cong_7_Ngay'!$P:$P,MATCH($C99,'05_Theo_Doi_Gio_Cong_7_Ngay'!$B:$B,0))=0,"",INDEX('05_Theo_Doi_Gio_Cong_7_Ngay'!$P:$P,MATCH($C99,'05_Theo_Doi_Gio_Cong_7_Ngay'!$B:$B,0))),""))</f>
      </c>
      <c r="Y99" s="60">
        <f t="array" ref="Y99">IF($C99="","",IFERROR(IF(INDEX('05_Theo_Doi_Gio_Cong_7_Ngay'!$M:$M,MATCH($C99,'05_Theo_Doi_Gio_Cong_7_Ngay'!$B:$B,0))=0,"",INDEX('05_Theo_Doi_Gio_Cong_7_Ngay'!$M:$M,MATCH($C99,'05_Theo_Doi_Gio_Cong_7_Ngay'!$B:$B,0))),""))</f>
      </c>
      <c r="Z99" s="60">
        <f t="array" ref="Z99">IF($C99="","",IFERROR(IF(INDEX('05_Theo_Doi_Gio_Cong_7_Ngay'!$Q:$Q,MATCH($C99,'05_Theo_Doi_Gio_Cong_7_Ngay'!$B:$B,0))=0,"",INDEX('05_Theo_Doi_Gio_Cong_7_Ngay'!$Q:$Q,MATCH($C99,'05_Theo_Doi_Gio_Cong_7_Ngay'!$B:$B,0))),""))</f>
      </c>
      <c r="AA99" s="60">
        <f t="array" ref="AA99">IF($B99="","",IFERROR(IF(INDEX('02_DS_Nhan_Viec'!$H:$H,MATCH($B99,'02_DS_Nhan_Viec'!$B:$B,0))=0,"",INDEX('02_DS_Nhan_Viec'!$H:$H,MATCH($B99,'02_DS_Nhan_Viec'!$B:$B,0))),""))</f>
      </c>
      <c r="AB99" s="60">
        <f t="array" ref="AB99">IF($B99="","",IFERROR(IF(INDEX('02_DS_Nhan_Viec'!$I:$I,MATCH($B99,'02_DS_Nhan_Viec'!$B:$B,0))=0,"",INDEX('02_DS_Nhan_Viec'!$I:$I,MATCH($B99,'02_DS_Nhan_Viec'!$B:$B,0))),""))</f>
      </c>
      <c r="AC99" s="61">
        <f t="array" ref="AC99">IF($B99="","",IF($C99="","Đang theo dõi",IF(OR(IFERROR(INDEX('05_Theo_Doi_Gio_Cong_7_Ngay'!$R:$R,MATCH($C99,'05_Theo_Doi_Gio_Cong_7_Ngay'!$B:$B,0)),"")="",IFERROR(INDEX('05_Theo_Doi_Gio_Cong_7_Ngay'!$R:$R,MATCH($C99,'05_Theo_Doi_Gio_Cong_7_Ngay'!$B:$B,0)),0)=0),"Đang theo dõi",IFERROR(INDEX('06_DS_Chinh_Thuc'!$K:$K,MATCH(IFERROR(INDEX('05_Theo_Doi_Gio_Cong_7_Ngay'!$R:$R,MATCH($C99,'05_Theo_Doi_Gio_Cong_7_Ngay'!$B:$B,0)),0),'06_DS_Chinh_Thuc'!$B:$B,0)),"Đang theo dõi"))))</f>
      </c>
    </row>
    <row r="100" ht="14.25" customHeight="1" spans="1:29" x14ac:dyDescent="0.25">
      <c r="A100" s="52">
        <f t="shared" si="0"/>
      </c>
      <c r="B100" s="52">
        <f t="array" ref="B100">IFERROR(INDEX('02_DS_Nhan_Viec'!$B:$B,MATCH(99,'02_DS_Nhan_Viec'!$M:$M,0)),"")</f>
      </c>
      <c r="C100" s="52">
        <f t="array" ref="C100">IF($B100="","",IFERROR(IF(INDEX('02_DS_Nhan_Viec'!$J:$J,MATCH($B100,'02_DS_Nhan_Viec'!$B:$B,0))=0,"",INDEX('02_DS_Nhan_Viec'!$J:$J,MATCH($B100,'02_DS_Nhan_Viec'!$B:$B,0))),""))</f>
      </c>
      <c r="D100" s="52">
        <f t="array" ref="D100">IF($C100="","",IFERROR(IF(INDEX('05_Theo_Doi_Gio_Cong_7_Ngay'!$R:$R,MATCH($C100,'05_Theo_Doi_Gio_Cong_7_Ngay'!$B:$B,0))=0,"",INDEX('05_Theo_Doi_Gio_Cong_7_Ngay'!$R:$R,MATCH($C100,'05_Theo_Doi_Gio_Cong_7_Ngay'!$B:$B,0))),""))</f>
      </c>
      <c r="E100" s="60">
        <f t="array" ref="E100">IF($B100="","",IFERROR(IF(INDEX('01_UngVien_PhongVan'!$D:$D,MATCH($B100,'01_UngVien_PhongVan'!$B:$B,0))=0,"",INDEX('01_UngVien_PhongVan'!$D:$D,MATCH($B100,'01_UngVien_PhongVan'!$B:$B,0))),""))</f>
      </c>
      <c r="F100" s="52">
        <f t="array" ref="F100">IF($B100="","",IFERROR(IF(INDEX('01_UngVien_PhongVan'!$F:$F,MATCH($B100,'01_UngVien_PhongVan'!$B:$B,0))=0,"",INDEX('01_UngVien_PhongVan'!$F:$F,MATCH($B100,'01_UngVien_PhongVan'!$B:$B,0))),""))</f>
      </c>
      <c r="G100" s="72">
        <f t="array" ref="G100">IF($B100="","",IFERROR(IF(INDEX('01_UngVien_PhongVan'!$G:$G,MATCH($B100,'01_UngVien_PhongVan'!$B:$B,0))=0,"",INDEX('01_UngVien_PhongVan'!$G:$G,MATCH($B100,'01_UngVien_PhongVan'!$B:$B,0))),""))</f>
      </c>
      <c r="H100" s="52">
        <f t="array" ref="H100">IF($B100="","",IFERROR(IF(INDEX('01_UngVien_PhongVan'!$H:$H,MATCH($B100,'01_UngVien_PhongVan'!$B:$B,0))=0,"",INDEX('01_UngVien_PhongVan'!$H:$H,MATCH($B100,'01_UngVien_PhongVan'!$B:$B,0))),""))</f>
      </c>
      <c r="I100" s="60">
        <f t="array" ref="I100">IF($B100="","",IFERROR(IF(INDEX('01_UngVien_PhongVan'!$I:$I,MATCH($B100,'01_UngVien_PhongVan'!$B:$B,0))=0,"",INDEX('01_UngVien_PhongVan'!$I:$I,MATCH($B100,'01_UngVien_PhongVan'!$B:$B,0))),""))</f>
      </c>
      <c r="J100" s="60">
        <f t="array" ref="J100">IF($B100="","",IFERROR(IF(INDEX('01_UngVien_PhongVan'!$J:$J,MATCH($B100,'01_UngVien_PhongVan'!$B:$B,0))=0,"",INDEX('01_UngVien_PhongVan'!$J:$J,MATCH($B100,'01_UngVien_PhongVan'!$B:$B,0))),""))</f>
      </c>
      <c r="K100" s="73">
        <f t="array" ref="K100">IF($B100="","",IFERROR(IF(INDEX('01_UngVien_PhongVan'!$K:$K,MATCH($B100,'01_UngVien_PhongVan'!$B:$B,0))=0,"",INDEX('01_UngVien_PhongVan'!$K:$K,MATCH($B100,'01_UngVien_PhongVan'!$B:$B,0))),""))</f>
      </c>
      <c r="L100" s="60">
        <f t="array" ref="L100">IF($B100="","",IFERROR(IF(INDEX('01_UngVien_PhongVan'!$L:$L,MATCH($B100,'01_UngVien_PhongVan'!$B:$B,0))=0,"",INDEX('01_UngVien_PhongVan'!$L:$L,MATCH($B100,'01_UngVien_PhongVan'!$B:$B,0))),""))</f>
      </c>
      <c r="M100" s="60">
        <f t="array" ref="M100">IF($B100="","",IFERROR(IF(INDEX('01_UngVien_PhongVan'!$E:$E,MATCH($B100,'01_UngVien_PhongVan'!$B:$B,0))=0,"",INDEX('01_UngVien_PhongVan'!$E:$E,MATCH($B100,'01_UngVien_PhongVan'!$B:$B,0))),""))</f>
      </c>
      <c r="N100" s="60">
        <f t="array" ref="N100">IF($B100="","",IFERROR(IF(INDEX('01_UngVien_PhongVan'!$M:$M,MATCH($B100,'01_UngVien_PhongVan'!$B:$B,0))=0,"",INDEX('01_UngVien_PhongVan'!$M:$M,MATCH($B100,'01_UngVien_PhongVan'!$B:$B,0))),""))</f>
      </c>
      <c r="O100" s="60">
        <f t="array" ref="O100">IF($B100="","",IFERROR(IF(INDEX('01_UngVien_PhongVan'!$N:$N,MATCH($B100,'01_UngVien_PhongVan'!$B:$B,0))=0,"",INDEX('01_UngVien_PhongVan'!$N:$N,MATCH($B100,'01_UngVien_PhongVan'!$B:$B,0))),""))</f>
      </c>
      <c r="P100" s="60">
        <f t="array" ref="P100">IF($B100="","",IFERROR(IF(INDEX('01_UngVien_PhongVan'!$O:$O,MATCH($B100,'01_UngVien_PhongVan'!$B:$B,0))=0,"",INDEX('01_UngVien_PhongVan'!$O:$O,MATCH($B100,'01_UngVien_PhongVan'!$B:$B,0))),""))</f>
      </c>
      <c r="Q100" s="60">
        <f t="array" ref="Q100">IF($B100="","",IFERROR(IF(INDEX('01_UngVien_PhongVan'!$P:$P,MATCH($B100,'01_UngVien_PhongVan'!$B:$B,0))=0,"",INDEX('01_UngVien_PhongVan'!$P:$P,MATCH($B100,'01_UngVien_PhongVan'!$B:$B,0))),""))</f>
      </c>
      <c r="R100" s="60">
        <f t="array" ref="R100">IF($B100="","",IFERROR(IF(INDEX('01_UngVien_PhongVan'!$Q:$Q,MATCH($B100,'01_UngVien_PhongVan'!$B:$B,0))=0,"",INDEX('01_UngVien_PhongVan'!$Q:$Q,MATCH($B100,'01_UngVien_PhongVan'!$B:$B,0))),""))</f>
      </c>
      <c r="S100" s="60">
        <f t="array" ref="S100">IF($B100="","",IFERROR(IF(INDEX('01_UngVien_PhongVan'!$R:$R,MATCH($B100,'01_UngVien_PhongVan'!$B:$B,0))=0,"",INDEX('01_UngVien_PhongVan'!$R:$R,MATCH($B100,'01_UngVien_PhongVan'!$B:$B,0))),""))</f>
      </c>
      <c r="T100" s="60">
        <f t="array" ref="T100">IF($B100="","",IFERROR(IF(INDEX('01_UngVien_PhongVan'!$U:$U,MATCH($B100,'01_UngVien_PhongVan'!$B:$B,0))=0,"",INDEX('01_UngVien_PhongVan'!$U:$U,MATCH($B100,'01_UngVien_PhongVan'!$B:$B,0))),""))</f>
      </c>
      <c r="U100" s="73">
        <f t="array" ref="U100">IF($B100="","",IFERROR(IF(INDEX('01_UngVien_PhongVan'!$C:$C,MATCH($B100,'01_UngVien_PhongVan'!$B:$B,0))=0,"",INDEX('01_UngVien_PhongVan'!$C:$C,MATCH($B100,'01_UngVien_PhongVan'!$B:$B,0))),""))</f>
      </c>
      <c r="V100" s="73">
        <f t="array" ref="V100">IF($B100="","",IFERROR(IF(INDEX('02_DS_Nhan_Viec'!$D:$D,MATCH($B100,'02_DS_Nhan_Viec'!$B:$B,0))=0,"",INDEX('02_DS_Nhan_Viec'!$D:$D,MATCH($B100,'02_DS_Nhan_Viec'!$B:$B,0))),""))</f>
      </c>
      <c r="W100" s="73">
        <f t="array" ref="W100">IF($B100="","",IFERROR(IF(INDEX('02_DS_Nhan_Viec'!$E:$E,MATCH($B100,'02_DS_Nhan_Viec'!$B:$B,0))=0,"",INDEX('02_DS_Nhan_Viec'!$E:$E,MATCH($B100,'02_DS_Nhan_Viec'!$B:$B,0))),""))</f>
      </c>
      <c r="X100" s="73">
        <f t="array" ref="X100">IF($C100="","",IFERROR(IF(INDEX('05_Theo_Doi_Gio_Cong_7_Ngay'!$P:$P,MATCH($C100,'05_Theo_Doi_Gio_Cong_7_Ngay'!$B:$B,0))=0,"",INDEX('05_Theo_Doi_Gio_Cong_7_Ngay'!$P:$P,MATCH($C100,'05_Theo_Doi_Gio_Cong_7_Ngay'!$B:$B,0))),""))</f>
      </c>
      <c r="Y100" s="60">
        <f t="array" ref="Y100">IF($C100="","",IFERROR(IF(INDEX('05_Theo_Doi_Gio_Cong_7_Ngay'!$M:$M,MATCH($C100,'05_Theo_Doi_Gio_Cong_7_Ngay'!$B:$B,0))=0,"",INDEX('05_Theo_Doi_Gio_Cong_7_Ngay'!$M:$M,MATCH($C100,'05_Theo_Doi_Gio_Cong_7_Ngay'!$B:$B,0))),""))</f>
      </c>
      <c r="Z100" s="60">
        <f t="array" ref="Z100">IF($C100="","",IFERROR(IF(INDEX('05_Theo_Doi_Gio_Cong_7_Ngay'!$Q:$Q,MATCH($C100,'05_Theo_Doi_Gio_Cong_7_Ngay'!$B:$B,0))=0,"",INDEX('05_Theo_Doi_Gio_Cong_7_Ngay'!$Q:$Q,MATCH($C100,'05_Theo_Doi_Gio_Cong_7_Ngay'!$B:$B,0))),""))</f>
      </c>
      <c r="AA100" s="60">
        <f t="array" ref="AA100">IF($B100="","",IFERROR(IF(INDEX('02_DS_Nhan_Viec'!$H:$H,MATCH($B100,'02_DS_Nhan_Viec'!$B:$B,0))=0,"",INDEX('02_DS_Nhan_Viec'!$H:$H,MATCH($B100,'02_DS_Nhan_Viec'!$B:$B,0))),""))</f>
      </c>
      <c r="AB100" s="60">
        <f t="array" ref="AB100">IF($B100="","",IFERROR(IF(INDEX('02_DS_Nhan_Viec'!$I:$I,MATCH($B100,'02_DS_Nhan_Viec'!$B:$B,0))=0,"",INDEX('02_DS_Nhan_Viec'!$I:$I,MATCH($B100,'02_DS_Nhan_Viec'!$B:$B,0))),""))</f>
      </c>
      <c r="AC100" s="61">
        <f t="array" ref="AC100">IF($B100="","",IF($C100="","Đang theo dõi",IF(OR(IFERROR(INDEX('05_Theo_Doi_Gio_Cong_7_Ngay'!$R:$R,MATCH($C100,'05_Theo_Doi_Gio_Cong_7_Ngay'!$B:$B,0)),"")="",IFERROR(INDEX('05_Theo_Doi_Gio_Cong_7_Ngay'!$R:$R,MATCH($C100,'05_Theo_Doi_Gio_Cong_7_Ngay'!$B:$B,0)),0)=0),"Đang theo dõi",IFERROR(INDEX('06_DS_Chinh_Thuc'!$K:$K,MATCH(IFERROR(INDEX('05_Theo_Doi_Gio_Cong_7_Ngay'!$R:$R,MATCH($C100,'05_Theo_Doi_Gio_Cong_7_Ngay'!$B:$B,0)),0),'06_DS_Chinh_Thuc'!$B:$B,0)),"Đang theo dõi"))))</f>
      </c>
    </row>
    <row r="101" ht="14.25" customHeight="1" spans="1:29" x14ac:dyDescent="0.25">
      <c r="A101" s="52">
        <f t="shared" si="0"/>
      </c>
      <c r="B101" s="52">
        <f t="array" ref="B101">IFERROR(INDEX('02_DS_Nhan_Viec'!$B:$B,MATCH(100,'02_DS_Nhan_Viec'!$M:$M,0)),"")</f>
      </c>
      <c r="C101" s="52">
        <f t="array" ref="C101">IF($B101="","",IFERROR(IF(INDEX('02_DS_Nhan_Viec'!$J:$J,MATCH($B101,'02_DS_Nhan_Viec'!$B:$B,0))=0,"",INDEX('02_DS_Nhan_Viec'!$J:$J,MATCH($B101,'02_DS_Nhan_Viec'!$B:$B,0))),""))</f>
      </c>
      <c r="D101" s="52">
        <f t="array" ref="D101">IF($C101="","",IFERROR(IF(INDEX('05_Theo_Doi_Gio_Cong_7_Ngay'!$R:$R,MATCH($C101,'05_Theo_Doi_Gio_Cong_7_Ngay'!$B:$B,0))=0,"",INDEX('05_Theo_Doi_Gio_Cong_7_Ngay'!$R:$R,MATCH($C101,'05_Theo_Doi_Gio_Cong_7_Ngay'!$B:$B,0))),""))</f>
      </c>
      <c r="E101" s="60">
        <f t="array" ref="E101">IF($B101="","",IFERROR(IF(INDEX('01_UngVien_PhongVan'!$D:$D,MATCH($B101,'01_UngVien_PhongVan'!$B:$B,0))=0,"",INDEX('01_UngVien_PhongVan'!$D:$D,MATCH($B101,'01_UngVien_PhongVan'!$B:$B,0))),""))</f>
      </c>
      <c r="F101" s="52">
        <f t="array" ref="F101">IF($B101="","",IFERROR(IF(INDEX('01_UngVien_PhongVan'!$F:$F,MATCH($B101,'01_UngVien_PhongVan'!$B:$B,0))=0,"",INDEX('01_UngVien_PhongVan'!$F:$F,MATCH($B101,'01_UngVien_PhongVan'!$B:$B,0))),""))</f>
      </c>
      <c r="G101" s="72">
        <f t="array" ref="G101">IF($B101="","",IFERROR(IF(INDEX('01_UngVien_PhongVan'!$G:$G,MATCH($B101,'01_UngVien_PhongVan'!$B:$B,0))=0,"",INDEX('01_UngVien_PhongVan'!$G:$G,MATCH($B101,'01_UngVien_PhongVan'!$B:$B,0))),""))</f>
      </c>
      <c r="H101" s="52">
        <f t="array" ref="H101">IF($B101="","",IFERROR(IF(INDEX('01_UngVien_PhongVan'!$H:$H,MATCH($B101,'01_UngVien_PhongVan'!$B:$B,0))=0,"",INDEX('01_UngVien_PhongVan'!$H:$H,MATCH($B101,'01_UngVien_PhongVan'!$B:$B,0))),""))</f>
      </c>
      <c r="I101" s="60">
        <f t="array" ref="I101">IF($B101="","",IFERROR(IF(INDEX('01_UngVien_PhongVan'!$I:$I,MATCH($B101,'01_UngVien_PhongVan'!$B:$B,0))=0,"",INDEX('01_UngVien_PhongVan'!$I:$I,MATCH($B101,'01_UngVien_PhongVan'!$B:$B,0))),""))</f>
      </c>
      <c r="J101" s="60">
        <f t="array" ref="J101">IF($B101="","",IFERROR(IF(INDEX('01_UngVien_PhongVan'!$J:$J,MATCH($B101,'01_UngVien_PhongVan'!$B:$B,0))=0,"",INDEX('01_UngVien_PhongVan'!$J:$J,MATCH($B101,'01_UngVien_PhongVan'!$B:$B,0))),""))</f>
      </c>
      <c r="K101" s="73">
        <f t="array" ref="K101">IF($B101="","",IFERROR(IF(INDEX('01_UngVien_PhongVan'!$K:$K,MATCH($B101,'01_UngVien_PhongVan'!$B:$B,0))=0,"",INDEX('01_UngVien_PhongVan'!$K:$K,MATCH($B101,'01_UngVien_PhongVan'!$B:$B,0))),""))</f>
      </c>
      <c r="L101" s="60">
        <f t="array" ref="L101">IF($B101="","",IFERROR(IF(INDEX('01_UngVien_PhongVan'!$L:$L,MATCH($B101,'01_UngVien_PhongVan'!$B:$B,0))=0,"",INDEX('01_UngVien_PhongVan'!$L:$L,MATCH($B101,'01_UngVien_PhongVan'!$B:$B,0))),""))</f>
      </c>
      <c r="M101" s="60">
        <f t="array" ref="M101">IF($B101="","",IFERROR(IF(INDEX('01_UngVien_PhongVan'!$E:$E,MATCH($B101,'01_UngVien_PhongVan'!$B:$B,0))=0,"",INDEX('01_UngVien_PhongVan'!$E:$E,MATCH($B101,'01_UngVien_PhongVan'!$B:$B,0))),""))</f>
      </c>
      <c r="N101" s="60">
        <f t="array" ref="N101">IF($B101="","",IFERROR(IF(INDEX('01_UngVien_PhongVan'!$M:$M,MATCH($B101,'01_UngVien_PhongVan'!$B:$B,0))=0,"",INDEX('01_UngVien_PhongVan'!$M:$M,MATCH($B101,'01_UngVien_PhongVan'!$B:$B,0))),""))</f>
      </c>
      <c r="O101" s="60">
        <f t="array" ref="O101">IF($B101="","",IFERROR(IF(INDEX('01_UngVien_PhongVan'!$N:$N,MATCH($B101,'01_UngVien_PhongVan'!$B:$B,0))=0,"",INDEX('01_UngVien_PhongVan'!$N:$N,MATCH($B101,'01_UngVien_PhongVan'!$B:$B,0))),""))</f>
      </c>
      <c r="P101" s="60">
        <f t="array" ref="P101">IF($B101="","",IFERROR(IF(INDEX('01_UngVien_PhongVan'!$O:$O,MATCH($B101,'01_UngVien_PhongVan'!$B:$B,0))=0,"",INDEX('01_UngVien_PhongVan'!$O:$O,MATCH($B101,'01_UngVien_PhongVan'!$B:$B,0))),""))</f>
      </c>
      <c r="Q101" s="60">
        <f t="array" ref="Q101">IF($B101="","",IFERROR(IF(INDEX('01_UngVien_PhongVan'!$P:$P,MATCH($B101,'01_UngVien_PhongVan'!$B:$B,0))=0,"",INDEX('01_UngVien_PhongVan'!$P:$P,MATCH($B101,'01_UngVien_PhongVan'!$B:$B,0))),""))</f>
      </c>
      <c r="R101" s="60">
        <f t="array" ref="R101">IF($B101="","",IFERROR(IF(INDEX('01_UngVien_PhongVan'!$Q:$Q,MATCH($B101,'01_UngVien_PhongVan'!$B:$B,0))=0,"",INDEX('01_UngVien_PhongVan'!$Q:$Q,MATCH($B101,'01_UngVien_PhongVan'!$B:$B,0))),""))</f>
      </c>
      <c r="S101" s="60">
        <f t="array" ref="S101">IF($B101="","",IFERROR(IF(INDEX('01_UngVien_PhongVan'!$R:$R,MATCH($B101,'01_UngVien_PhongVan'!$B:$B,0))=0,"",INDEX('01_UngVien_PhongVan'!$R:$R,MATCH($B101,'01_UngVien_PhongVan'!$B:$B,0))),""))</f>
      </c>
      <c r="T101" s="60">
        <f t="array" ref="T101">IF($B101="","",IFERROR(IF(INDEX('01_UngVien_PhongVan'!$U:$U,MATCH($B101,'01_UngVien_PhongVan'!$B:$B,0))=0,"",INDEX('01_UngVien_PhongVan'!$U:$U,MATCH($B101,'01_UngVien_PhongVan'!$B:$B,0))),""))</f>
      </c>
      <c r="U101" s="73">
        <f t="array" ref="U101">IF($B101="","",IFERROR(IF(INDEX('01_UngVien_PhongVan'!$C:$C,MATCH($B101,'01_UngVien_PhongVan'!$B:$B,0))=0,"",INDEX('01_UngVien_PhongVan'!$C:$C,MATCH($B101,'01_UngVien_PhongVan'!$B:$B,0))),""))</f>
      </c>
      <c r="V101" s="73">
        <f t="array" ref="V101">IF($B101="","",IFERROR(IF(INDEX('02_DS_Nhan_Viec'!$D:$D,MATCH($B101,'02_DS_Nhan_Viec'!$B:$B,0))=0,"",INDEX('02_DS_Nhan_Viec'!$D:$D,MATCH($B101,'02_DS_Nhan_Viec'!$B:$B,0))),""))</f>
      </c>
      <c r="W101" s="73">
        <f t="array" ref="W101">IF($B101="","",IFERROR(IF(INDEX('02_DS_Nhan_Viec'!$E:$E,MATCH($B101,'02_DS_Nhan_Viec'!$B:$B,0))=0,"",INDEX('02_DS_Nhan_Viec'!$E:$E,MATCH($B101,'02_DS_Nhan_Viec'!$B:$B,0))),""))</f>
      </c>
      <c r="X101" s="73">
        <f t="array" ref="X101">IF($C101="","",IFERROR(IF(INDEX('05_Theo_Doi_Gio_Cong_7_Ngay'!$P:$P,MATCH($C101,'05_Theo_Doi_Gio_Cong_7_Ngay'!$B:$B,0))=0,"",INDEX('05_Theo_Doi_Gio_Cong_7_Ngay'!$P:$P,MATCH($C101,'05_Theo_Doi_Gio_Cong_7_Ngay'!$B:$B,0))),""))</f>
      </c>
      <c r="Y101" s="60">
        <f t="array" ref="Y101">IF($C101="","",IFERROR(IF(INDEX('05_Theo_Doi_Gio_Cong_7_Ngay'!$M:$M,MATCH($C101,'05_Theo_Doi_Gio_Cong_7_Ngay'!$B:$B,0))=0,"",INDEX('05_Theo_Doi_Gio_Cong_7_Ngay'!$M:$M,MATCH($C101,'05_Theo_Doi_Gio_Cong_7_Ngay'!$B:$B,0))),""))</f>
      </c>
      <c r="Z101" s="60">
        <f t="array" ref="Z101">IF($C101="","",IFERROR(IF(INDEX('05_Theo_Doi_Gio_Cong_7_Ngay'!$Q:$Q,MATCH($C101,'05_Theo_Doi_Gio_Cong_7_Ngay'!$B:$B,0))=0,"",INDEX('05_Theo_Doi_Gio_Cong_7_Ngay'!$Q:$Q,MATCH($C101,'05_Theo_Doi_Gio_Cong_7_Ngay'!$B:$B,0))),""))</f>
      </c>
      <c r="AA101" s="60">
        <f t="array" ref="AA101">IF($B101="","",IFERROR(IF(INDEX('02_DS_Nhan_Viec'!$H:$H,MATCH($B101,'02_DS_Nhan_Viec'!$B:$B,0))=0,"",INDEX('02_DS_Nhan_Viec'!$H:$H,MATCH($B101,'02_DS_Nhan_Viec'!$B:$B,0))),""))</f>
      </c>
      <c r="AB101" s="60">
        <f t="array" ref="AB101">IF($B101="","",IFERROR(IF(INDEX('02_DS_Nhan_Viec'!$I:$I,MATCH($B101,'02_DS_Nhan_Viec'!$B:$B,0))=0,"",INDEX('02_DS_Nhan_Viec'!$I:$I,MATCH($B101,'02_DS_Nhan_Viec'!$B:$B,0))),""))</f>
      </c>
      <c r="AC101" s="61">
        <f t="array" ref="AC101">IF($B101="","",IF($C101="","Đang theo dõi",IF(OR(IFERROR(INDEX('05_Theo_Doi_Gio_Cong_7_Ngay'!$R:$R,MATCH($C101,'05_Theo_Doi_Gio_Cong_7_Ngay'!$B:$B,0)),"")="",IFERROR(INDEX('05_Theo_Doi_Gio_Cong_7_Ngay'!$R:$R,MATCH($C101,'05_Theo_Doi_Gio_Cong_7_Ngay'!$B:$B,0)),0)=0),"Đang theo dõi",IFERROR(INDEX('06_DS_Chinh_Thuc'!$K:$K,MATCH(IFERROR(INDEX('05_Theo_Doi_Gio_Cong_7_Ngay'!$R:$R,MATCH($C101,'05_Theo_Doi_Gio_Cong_7_Ngay'!$B:$B,0)),0),'06_DS_Chinh_Thuc'!$B:$B,0)),"Đang theo dõi"))))</f>
      </c>
    </row>
    <row r="102" ht="14.25" customHeight="1" spans="1:29" x14ac:dyDescent="0.25">
      <c r="A102" s="52">
        <f t="shared" si="0"/>
      </c>
      <c r="B102" s="52">
        <f t="array" ref="B102">IFERROR(INDEX('02_DS_Nhan_Viec'!$B:$B,MATCH(101,'02_DS_Nhan_Viec'!$M:$M,0)),"")</f>
      </c>
      <c r="C102" s="52">
        <f t="array" ref="C102">IF($B102="","",IFERROR(IF(INDEX('02_DS_Nhan_Viec'!$J:$J,MATCH($B102,'02_DS_Nhan_Viec'!$B:$B,0))=0,"",INDEX('02_DS_Nhan_Viec'!$J:$J,MATCH($B102,'02_DS_Nhan_Viec'!$B:$B,0))),""))</f>
      </c>
      <c r="D102" s="52">
        <f t="array" ref="D102">IF($C102="","",IFERROR(IF(INDEX('05_Theo_Doi_Gio_Cong_7_Ngay'!$R:$R,MATCH($C102,'05_Theo_Doi_Gio_Cong_7_Ngay'!$B:$B,0))=0,"",INDEX('05_Theo_Doi_Gio_Cong_7_Ngay'!$R:$R,MATCH($C102,'05_Theo_Doi_Gio_Cong_7_Ngay'!$B:$B,0))),""))</f>
      </c>
      <c r="E102" s="60">
        <f t="array" ref="E102">IF($B102="","",IFERROR(IF(INDEX('01_UngVien_PhongVan'!$D:$D,MATCH($B102,'01_UngVien_PhongVan'!$B:$B,0))=0,"",INDEX('01_UngVien_PhongVan'!$D:$D,MATCH($B102,'01_UngVien_PhongVan'!$B:$B,0))),""))</f>
      </c>
      <c r="F102" s="52">
        <f t="array" ref="F102">IF($B102="","",IFERROR(IF(INDEX('01_UngVien_PhongVan'!$F:$F,MATCH($B102,'01_UngVien_PhongVan'!$B:$B,0))=0,"",INDEX('01_UngVien_PhongVan'!$F:$F,MATCH($B102,'01_UngVien_PhongVan'!$B:$B,0))),""))</f>
      </c>
      <c r="G102" s="72">
        <f t="array" ref="G102">IF($B102="","",IFERROR(IF(INDEX('01_UngVien_PhongVan'!$G:$G,MATCH($B102,'01_UngVien_PhongVan'!$B:$B,0))=0,"",INDEX('01_UngVien_PhongVan'!$G:$G,MATCH($B102,'01_UngVien_PhongVan'!$B:$B,0))),""))</f>
      </c>
      <c r="H102" s="52">
        <f t="array" ref="H102">IF($B102="","",IFERROR(IF(INDEX('01_UngVien_PhongVan'!$H:$H,MATCH($B102,'01_UngVien_PhongVan'!$B:$B,0))=0,"",INDEX('01_UngVien_PhongVan'!$H:$H,MATCH($B102,'01_UngVien_PhongVan'!$B:$B,0))),""))</f>
      </c>
      <c r="I102" s="60">
        <f t="array" ref="I102">IF($B102="","",IFERROR(IF(INDEX('01_UngVien_PhongVan'!$I:$I,MATCH($B102,'01_UngVien_PhongVan'!$B:$B,0))=0,"",INDEX('01_UngVien_PhongVan'!$I:$I,MATCH($B102,'01_UngVien_PhongVan'!$B:$B,0))),""))</f>
      </c>
      <c r="J102" s="60">
        <f t="array" ref="J102">IF($B102="","",IFERROR(IF(INDEX('01_UngVien_PhongVan'!$J:$J,MATCH($B102,'01_UngVien_PhongVan'!$B:$B,0))=0,"",INDEX('01_UngVien_PhongVan'!$J:$J,MATCH($B102,'01_UngVien_PhongVan'!$B:$B,0))),""))</f>
      </c>
      <c r="K102" s="73">
        <f t="array" ref="K102">IF($B102="","",IFERROR(IF(INDEX('01_UngVien_PhongVan'!$K:$K,MATCH($B102,'01_UngVien_PhongVan'!$B:$B,0))=0,"",INDEX('01_UngVien_PhongVan'!$K:$K,MATCH($B102,'01_UngVien_PhongVan'!$B:$B,0))),""))</f>
      </c>
      <c r="L102" s="60">
        <f t="array" ref="L102">IF($B102="","",IFERROR(IF(INDEX('01_UngVien_PhongVan'!$L:$L,MATCH($B102,'01_UngVien_PhongVan'!$B:$B,0))=0,"",INDEX('01_UngVien_PhongVan'!$L:$L,MATCH($B102,'01_UngVien_PhongVan'!$B:$B,0))),""))</f>
      </c>
      <c r="M102" s="60">
        <f t="array" ref="M102">IF($B102="","",IFERROR(IF(INDEX('01_UngVien_PhongVan'!$E:$E,MATCH($B102,'01_UngVien_PhongVan'!$B:$B,0))=0,"",INDEX('01_UngVien_PhongVan'!$E:$E,MATCH($B102,'01_UngVien_PhongVan'!$B:$B,0))),""))</f>
      </c>
      <c r="N102" s="60">
        <f t="array" ref="N102">IF($B102="","",IFERROR(IF(INDEX('01_UngVien_PhongVan'!$M:$M,MATCH($B102,'01_UngVien_PhongVan'!$B:$B,0))=0,"",INDEX('01_UngVien_PhongVan'!$M:$M,MATCH($B102,'01_UngVien_PhongVan'!$B:$B,0))),""))</f>
      </c>
      <c r="O102" s="60">
        <f t="array" ref="O102">IF($B102="","",IFERROR(IF(INDEX('01_UngVien_PhongVan'!$N:$N,MATCH($B102,'01_UngVien_PhongVan'!$B:$B,0))=0,"",INDEX('01_UngVien_PhongVan'!$N:$N,MATCH($B102,'01_UngVien_PhongVan'!$B:$B,0))),""))</f>
      </c>
      <c r="P102" s="60">
        <f t="array" ref="P102">IF($B102="","",IFERROR(IF(INDEX('01_UngVien_PhongVan'!$O:$O,MATCH($B102,'01_UngVien_PhongVan'!$B:$B,0))=0,"",INDEX('01_UngVien_PhongVan'!$O:$O,MATCH($B102,'01_UngVien_PhongVan'!$B:$B,0))),""))</f>
      </c>
      <c r="Q102" s="60">
        <f t="array" ref="Q102">IF($B102="","",IFERROR(IF(INDEX('01_UngVien_PhongVan'!$P:$P,MATCH($B102,'01_UngVien_PhongVan'!$B:$B,0))=0,"",INDEX('01_UngVien_PhongVan'!$P:$P,MATCH($B102,'01_UngVien_PhongVan'!$B:$B,0))),""))</f>
      </c>
      <c r="R102" s="60">
        <f t="array" ref="R102">IF($B102="","",IFERROR(IF(INDEX('01_UngVien_PhongVan'!$Q:$Q,MATCH($B102,'01_UngVien_PhongVan'!$B:$B,0))=0,"",INDEX('01_UngVien_PhongVan'!$Q:$Q,MATCH($B102,'01_UngVien_PhongVan'!$B:$B,0))),""))</f>
      </c>
      <c r="S102" s="60">
        <f t="array" ref="S102">IF($B102="","",IFERROR(IF(INDEX('01_UngVien_PhongVan'!$R:$R,MATCH($B102,'01_UngVien_PhongVan'!$B:$B,0))=0,"",INDEX('01_UngVien_PhongVan'!$R:$R,MATCH($B102,'01_UngVien_PhongVan'!$B:$B,0))),""))</f>
      </c>
      <c r="T102" s="60">
        <f t="array" ref="T102">IF($B102="","",IFERROR(IF(INDEX('01_UngVien_PhongVan'!$U:$U,MATCH($B102,'01_UngVien_PhongVan'!$B:$B,0))=0,"",INDEX('01_UngVien_PhongVan'!$U:$U,MATCH($B102,'01_UngVien_PhongVan'!$B:$B,0))),""))</f>
      </c>
      <c r="U102" s="73">
        <f t="array" ref="U102">IF($B102="","",IFERROR(IF(INDEX('01_UngVien_PhongVan'!$C:$C,MATCH($B102,'01_UngVien_PhongVan'!$B:$B,0))=0,"",INDEX('01_UngVien_PhongVan'!$C:$C,MATCH($B102,'01_UngVien_PhongVan'!$B:$B,0))),""))</f>
      </c>
      <c r="V102" s="73">
        <f t="array" ref="V102">IF($B102="","",IFERROR(IF(INDEX('02_DS_Nhan_Viec'!$D:$D,MATCH($B102,'02_DS_Nhan_Viec'!$B:$B,0))=0,"",INDEX('02_DS_Nhan_Viec'!$D:$D,MATCH($B102,'02_DS_Nhan_Viec'!$B:$B,0))),""))</f>
      </c>
      <c r="W102" s="73">
        <f t="array" ref="W102">IF($B102="","",IFERROR(IF(INDEX('02_DS_Nhan_Viec'!$E:$E,MATCH($B102,'02_DS_Nhan_Viec'!$B:$B,0))=0,"",INDEX('02_DS_Nhan_Viec'!$E:$E,MATCH($B102,'02_DS_Nhan_Viec'!$B:$B,0))),""))</f>
      </c>
      <c r="X102" s="73">
        <f t="array" ref="X102">IF($C102="","",IFERROR(IF(INDEX('05_Theo_Doi_Gio_Cong_7_Ngay'!$P:$P,MATCH($C102,'05_Theo_Doi_Gio_Cong_7_Ngay'!$B:$B,0))=0,"",INDEX('05_Theo_Doi_Gio_Cong_7_Ngay'!$P:$P,MATCH($C102,'05_Theo_Doi_Gio_Cong_7_Ngay'!$B:$B,0))),""))</f>
      </c>
      <c r="Y102" s="60">
        <f t="array" ref="Y102">IF($C102="","",IFERROR(IF(INDEX('05_Theo_Doi_Gio_Cong_7_Ngay'!$M:$M,MATCH($C102,'05_Theo_Doi_Gio_Cong_7_Ngay'!$B:$B,0))=0,"",INDEX('05_Theo_Doi_Gio_Cong_7_Ngay'!$M:$M,MATCH($C102,'05_Theo_Doi_Gio_Cong_7_Ngay'!$B:$B,0))),""))</f>
      </c>
      <c r="Z102" s="60">
        <f t="array" ref="Z102">IF($C102="","",IFERROR(IF(INDEX('05_Theo_Doi_Gio_Cong_7_Ngay'!$Q:$Q,MATCH($C102,'05_Theo_Doi_Gio_Cong_7_Ngay'!$B:$B,0))=0,"",INDEX('05_Theo_Doi_Gio_Cong_7_Ngay'!$Q:$Q,MATCH($C102,'05_Theo_Doi_Gio_Cong_7_Ngay'!$B:$B,0))),""))</f>
      </c>
      <c r="AA102" s="60">
        <f t="array" ref="AA102">IF($B102="","",IFERROR(IF(INDEX('02_DS_Nhan_Viec'!$H:$H,MATCH($B102,'02_DS_Nhan_Viec'!$B:$B,0))=0,"",INDEX('02_DS_Nhan_Viec'!$H:$H,MATCH($B102,'02_DS_Nhan_Viec'!$B:$B,0))),""))</f>
      </c>
      <c r="AB102" s="60">
        <f t="array" ref="AB102">IF($B102="","",IFERROR(IF(INDEX('02_DS_Nhan_Viec'!$I:$I,MATCH($B102,'02_DS_Nhan_Viec'!$B:$B,0))=0,"",INDEX('02_DS_Nhan_Viec'!$I:$I,MATCH($B102,'02_DS_Nhan_Viec'!$B:$B,0))),""))</f>
      </c>
      <c r="AC102" s="61">
        <f t="array" ref="AC102">IF($B102="","",IF($C102="","Đang theo dõi",IF(OR(IFERROR(INDEX('05_Theo_Doi_Gio_Cong_7_Ngay'!$R:$R,MATCH($C102,'05_Theo_Doi_Gio_Cong_7_Ngay'!$B:$B,0)),"")="",IFERROR(INDEX('05_Theo_Doi_Gio_Cong_7_Ngay'!$R:$R,MATCH($C102,'05_Theo_Doi_Gio_Cong_7_Ngay'!$B:$B,0)),0)=0),"Đang theo dõi",IFERROR(INDEX('06_DS_Chinh_Thuc'!$K:$K,MATCH(IFERROR(INDEX('05_Theo_Doi_Gio_Cong_7_Ngay'!$R:$R,MATCH($C102,'05_Theo_Doi_Gio_Cong_7_Ngay'!$B:$B,0)),0),'06_DS_Chinh_Thuc'!$B:$B,0)),"Đang theo dõi"))))</f>
      </c>
    </row>
    <row r="103" ht="14.25" customHeight="1" spans="1:29" x14ac:dyDescent="0.25">
      <c r="A103" s="52">
        <f t="shared" si="0"/>
      </c>
      <c r="B103" s="52">
        <f t="array" ref="B103">IFERROR(INDEX('02_DS_Nhan_Viec'!$B:$B,MATCH(102,'02_DS_Nhan_Viec'!$M:$M,0)),"")</f>
      </c>
      <c r="C103" s="52">
        <f t="array" ref="C103">IF($B103="","",IFERROR(IF(INDEX('02_DS_Nhan_Viec'!$J:$J,MATCH($B103,'02_DS_Nhan_Viec'!$B:$B,0))=0,"",INDEX('02_DS_Nhan_Viec'!$J:$J,MATCH($B103,'02_DS_Nhan_Viec'!$B:$B,0))),""))</f>
      </c>
      <c r="D103" s="52">
        <f t="array" ref="D103">IF($C103="","",IFERROR(IF(INDEX('05_Theo_Doi_Gio_Cong_7_Ngay'!$R:$R,MATCH($C103,'05_Theo_Doi_Gio_Cong_7_Ngay'!$B:$B,0))=0,"",INDEX('05_Theo_Doi_Gio_Cong_7_Ngay'!$R:$R,MATCH($C103,'05_Theo_Doi_Gio_Cong_7_Ngay'!$B:$B,0))),""))</f>
      </c>
      <c r="E103" s="60">
        <f t="array" ref="E103">IF($B103="","",IFERROR(IF(INDEX('01_UngVien_PhongVan'!$D:$D,MATCH($B103,'01_UngVien_PhongVan'!$B:$B,0))=0,"",INDEX('01_UngVien_PhongVan'!$D:$D,MATCH($B103,'01_UngVien_PhongVan'!$B:$B,0))),""))</f>
      </c>
      <c r="F103" s="52">
        <f t="array" ref="F103">IF($B103="","",IFERROR(IF(INDEX('01_UngVien_PhongVan'!$F:$F,MATCH($B103,'01_UngVien_PhongVan'!$B:$B,0))=0,"",INDEX('01_UngVien_PhongVan'!$F:$F,MATCH($B103,'01_UngVien_PhongVan'!$B:$B,0))),""))</f>
      </c>
      <c r="G103" s="72">
        <f t="array" ref="G103">IF($B103="","",IFERROR(IF(INDEX('01_UngVien_PhongVan'!$G:$G,MATCH($B103,'01_UngVien_PhongVan'!$B:$B,0))=0,"",INDEX('01_UngVien_PhongVan'!$G:$G,MATCH($B103,'01_UngVien_PhongVan'!$B:$B,0))),""))</f>
      </c>
      <c r="H103" s="52">
        <f t="array" ref="H103">IF($B103="","",IFERROR(IF(INDEX('01_UngVien_PhongVan'!$H:$H,MATCH($B103,'01_UngVien_PhongVan'!$B:$B,0))=0,"",INDEX('01_UngVien_PhongVan'!$H:$H,MATCH($B103,'01_UngVien_PhongVan'!$B:$B,0))),""))</f>
      </c>
      <c r="I103" s="60">
        <f t="array" ref="I103">IF($B103="","",IFERROR(IF(INDEX('01_UngVien_PhongVan'!$I:$I,MATCH($B103,'01_UngVien_PhongVan'!$B:$B,0))=0,"",INDEX('01_UngVien_PhongVan'!$I:$I,MATCH($B103,'01_UngVien_PhongVan'!$B:$B,0))),""))</f>
      </c>
      <c r="J103" s="60">
        <f t="array" ref="J103">IF($B103="","",IFERROR(IF(INDEX('01_UngVien_PhongVan'!$J:$J,MATCH($B103,'01_UngVien_PhongVan'!$B:$B,0))=0,"",INDEX('01_UngVien_PhongVan'!$J:$J,MATCH($B103,'01_UngVien_PhongVan'!$B:$B,0))),""))</f>
      </c>
      <c r="K103" s="73">
        <f t="array" ref="K103">IF($B103="","",IFERROR(IF(INDEX('01_UngVien_PhongVan'!$K:$K,MATCH($B103,'01_UngVien_PhongVan'!$B:$B,0))=0,"",INDEX('01_UngVien_PhongVan'!$K:$K,MATCH($B103,'01_UngVien_PhongVan'!$B:$B,0))),""))</f>
      </c>
      <c r="L103" s="60">
        <f t="array" ref="L103">IF($B103="","",IFERROR(IF(INDEX('01_UngVien_PhongVan'!$L:$L,MATCH($B103,'01_UngVien_PhongVan'!$B:$B,0))=0,"",INDEX('01_UngVien_PhongVan'!$L:$L,MATCH($B103,'01_UngVien_PhongVan'!$B:$B,0))),""))</f>
      </c>
      <c r="M103" s="60">
        <f t="array" ref="M103">IF($B103="","",IFERROR(IF(INDEX('01_UngVien_PhongVan'!$E:$E,MATCH($B103,'01_UngVien_PhongVan'!$B:$B,0))=0,"",INDEX('01_UngVien_PhongVan'!$E:$E,MATCH($B103,'01_UngVien_PhongVan'!$B:$B,0))),""))</f>
      </c>
      <c r="N103" s="60">
        <f t="array" ref="N103">IF($B103="","",IFERROR(IF(INDEX('01_UngVien_PhongVan'!$M:$M,MATCH($B103,'01_UngVien_PhongVan'!$B:$B,0))=0,"",INDEX('01_UngVien_PhongVan'!$M:$M,MATCH($B103,'01_UngVien_PhongVan'!$B:$B,0))),""))</f>
      </c>
      <c r="O103" s="60">
        <f t="array" ref="O103">IF($B103="","",IFERROR(IF(INDEX('01_UngVien_PhongVan'!$N:$N,MATCH($B103,'01_UngVien_PhongVan'!$B:$B,0))=0,"",INDEX('01_UngVien_PhongVan'!$N:$N,MATCH($B103,'01_UngVien_PhongVan'!$B:$B,0))),""))</f>
      </c>
      <c r="P103" s="60">
        <f t="array" ref="P103">IF($B103="","",IFERROR(IF(INDEX('01_UngVien_PhongVan'!$O:$O,MATCH($B103,'01_UngVien_PhongVan'!$B:$B,0))=0,"",INDEX('01_UngVien_PhongVan'!$O:$O,MATCH($B103,'01_UngVien_PhongVan'!$B:$B,0))),""))</f>
      </c>
      <c r="Q103" s="60">
        <f t="array" ref="Q103">IF($B103="","",IFERROR(IF(INDEX('01_UngVien_PhongVan'!$P:$P,MATCH($B103,'01_UngVien_PhongVan'!$B:$B,0))=0,"",INDEX('01_UngVien_PhongVan'!$P:$P,MATCH($B103,'01_UngVien_PhongVan'!$B:$B,0))),""))</f>
      </c>
      <c r="R103" s="60">
        <f t="array" ref="R103">IF($B103="","",IFERROR(IF(INDEX('01_UngVien_PhongVan'!$Q:$Q,MATCH($B103,'01_UngVien_PhongVan'!$B:$B,0))=0,"",INDEX('01_UngVien_PhongVan'!$Q:$Q,MATCH($B103,'01_UngVien_PhongVan'!$B:$B,0))),""))</f>
      </c>
      <c r="S103" s="60">
        <f t="array" ref="S103">IF($B103="","",IFERROR(IF(INDEX('01_UngVien_PhongVan'!$R:$R,MATCH($B103,'01_UngVien_PhongVan'!$B:$B,0))=0,"",INDEX('01_UngVien_PhongVan'!$R:$R,MATCH($B103,'01_UngVien_PhongVan'!$B:$B,0))),""))</f>
      </c>
      <c r="T103" s="60">
        <f t="array" ref="T103">IF($B103="","",IFERROR(IF(INDEX('01_UngVien_PhongVan'!$U:$U,MATCH($B103,'01_UngVien_PhongVan'!$B:$B,0))=0,"",INDEX('01_UngVien_PhongVan'!$U:$U,MATCH($B103,'01_UngVien_PhongVan'!$B:$B,0))),""))</f>
      </c>
      <c r="U103" s="73">
        <f t="array" ref="U103">IF($B103="","",IFERROR(IF(INDEX('01_UngVien_PhongVan'!$C:$C,MATCH($B103,'01_UngVien_PhongVan'!$B:$B,0))=0,"",INDEX('01_UngVien_PhongVan'!$C:$C,MATCH($B103,'01_UngVien_PhongVan'!$B:$B,0))),""))</f>
      </c>
      <c r="V103" s="73">
        <f t="array" ref="V103">IF($B103="","",IFERROR(IF(INDEX('02_DS_Nhan_Viec'!$D:$D,MATCH($B103,'02_DS_Nhan_Viec'!$B:$B,0))=0,"",INDEX('02_DS_Nhan_Viec'!$D:$D,MATCH($B103,'02_DS_Nhan_Viec'!$B:$B,0))),""))</f>
      </c>
      <c r="W103" s="73">
        <f t="array" ref="W103">IF($B103="","",IFERROR(IF(INDEX('02_DS_Nhan_Viec'!$E:$E,MATCH($B103,'02_DS_Nhan_Viec'!$B:$B,0))=0,"",INDEX('02_DS_Nhan_Viec'!$E:$E,MATCH($B103,'02_DS_Nhan_Viec'!$B:$B,0))),""))</f>
      </c>
      <c r="X103" s="73">
        <f t="array" ref="X103">IF($C103="","",IFERROR(IF(INDEX('05_Theo_Doi_Gio_Cong_7_Ngay'!$P:$P,MATCH($C103,'05_Theo_Doi_Gio_Cong_7_Ngay'!$B:$B,0))=0,"",INDEX('05_Theo_Doi_Gio_Cong_7_Ngay'!$P:$P,MATCH($C103,'05_Theo_Doi_Gio_Cong_7_Ngay'!$B:$B,0))),""))</f>
      </c>
      <c r="Y103" s="60">
        <f t="array" ref="Y103">IF($C103="","",IFERROR(IF(INDEX('05_Theo_Doi_Gio_Cong_7_Ngay'!$M:$M,MATCH($C103,'05_Theo_Doi_Gio_Cong_7_Ngay'!$B:$B,0))=0,"",INDEX('05_Theo_Doi_Gio_Cong_7_Ngay'!$M:$M,MATCH($C103,'05_Theo_Doi_Gio_Cong_7_Ngay'!$B:$B,0))),""))</f>
      </c>
      <c r="Z103" s="60">
        <f t="array" ref="Z103">IF($C103="","",IFERROR(IF(INDEX('05_Theo_Doi_Gio_Cong_7_Ngay'!$Q:$Q,MATCH($C103,'05_Theo_Doi_Gio_Cong_7_Ngay'!$B:$B,0))=0,"",INDEX('05_Theo_Doi_Gio_Cong_7_Ngay'!$Q:$Q,MATCH($C103,'05_Theo_Doi_Gio_Cong_7_Ngay'!$B:$B,0))),""))</f>
      </c>
      <c r="AA103" s="60">
        <f t="array" ref="AA103">IF($B103="","",IFERROR(IF(INDEX('02_DS_Nhan_Viec'!$H:$H,MATCH($B103,'02_DS_Nhan_Viec'!$B:$B,0))=0,"",INDEX('02_DS_Nhan_Viec'!$H:$H,MATCH($B103,'02_DS_Nhan_Viec'!$B:$B,0))),""))</f>
      </c>
      <c r="AB103" s="60">
        <f t="array" ref="AB103">IF($B103="","",IFERROR(IF(INDEX('02_DS_Nhan_Viec'!$I:$I,MATCH($B103,'02_DS_Nhan_Viec'!$B:$B,0))=0,"",INDEX('02_DS_Nhan_Viec'!$I:$I,MATCH($B103,'02_DS_Nhan_Viec'!$B:$B,0))),""))</f>
      </c>
      <c r="AC103" s="61">
        <f t="array" ref="AC103">IF($B103="","",IF($C103="","Đang theo dõi",IF(OR(IFERROR(INDEX('05_Theo_Doi_Gio_Cong_7_Ngay'!$R:$R,MATCH($C103,'05_Theo_Doi_Gio_Cong_7_Ngay'!$B:$B,0)),"")="",IFERROR(INDEX('05_Theo_Doi_Gio_Cong_7_Ngay'!$R:$R,MATCH($C103,'05_Theo_Doi_Gio_Cong_7_Ngay'!$B:$B,0)),0)=0),"Đang theo dõi",IFERROR(INDEX('06_DS_Chinh_Thuc'!$K:$K,MATCH(IFERROR(INDEX('05_Theo_Doi_Gio_Cong_7_Ngay'!$R:$R,MATCH($C103,'05_Theo_Doi_Gio_Cong_7_Ngay'!$B:$B,0)),0),'06_DS_Chinh_Thuc'!$B:$B,0)),"Đang theo dõi"))))</f>
      </c>
    </row>
    <row r="104" ht="14.25" customHeight="1" spans="1:29" x14ac:dyDescent="0.25">
      <c r="A104" s="52">
        <f t="shared" si="0"/>
      </c>
      <c r="B104" s="52">
        <f t="array" ref="B104">IFERROR(INDEX('02_DS_Nhan_Viec'!$B:$B,MATCH(103,'02_DS_Nhan_Viec'!$M:$M,0)),"")</f>
      </c>
      <c r="C104" s="52">
        <f t="array" ref="C104">IF($B104="","",IFERROR(IF(INDEX('02_DS_Nhan_Viec'!$J:$J,MATCH($B104,'02_DS_Nhan_Viec'!$B:$B,0))=0,"",INDEX('02_DS_Nhan_Viec'!$J:$J,MATCH($B104,'02_DS_Nhan_Viec'!$B:$B,0))),""))</f>
      </c>
      <c r="D104" s="52">
        <f t="array" ref="D104">IF($C104="","",IFERROR(IF(INDEX('05_Theo_Doi_Gio_Cong_7_Ngay'!$R:$R,MATCH($C104,'05_Theo_Doi_Gio_Cong_7_Ngay'!$B:$B,0))=0,"",INDEX('05_Theo_Doi_Gio_Cong_7_Ngay'!$R:$R,MATCH($C104,'05_Theo_Doi_Gio_Cong_7_Ngay'!$B:$B,0))),""))</f>
      </c>
      <c r="E104" s="60">
        <f t="array" ref="E104">IF($B104="","",IFERROR(IF(INDEX('01_UngVien_PhongVan'!$D:$D,MATCH($B104,'01_UngVien_PhongVan'!$B:$B,0))=0,"",INDEX('01_UngVien_PhongVan'!$D:$D,MATCH($B104,'01_UngVien_PhongVan'!$B:$B,0))),""))</f>
      </c>
      <c r="F104" s="52">
        <f t="array" ref="F104">IF($B104="","",IFERROR(IF(INDEX('01_UngVien_PhongVan'!$F:$F,MATCH($B104,'01_UngVien_PhongVan'!$B:$B,0))=0,"",INDEX('01_UngVien_PhongVan'!$F:$F,MATCH($B104,'01_UngVien_PhongVan'!$B:$B,0))),""))</f>
      </c>
      <c r="G104" s="72">
        <f t="array" ref="G104">IF($B104="","",IFERROR(IF(INDEX('01_UngVien_PhongVan'!$G:$G,MATCH($B104,'01_UngVien_PhongVan'!$B:$B,0))=0,"",INDEX('01_UngVien_PhongVan'!$G:$G,MATCH($B104,'01_UngVien_PhongVan'!$B:$B,0))),""))</f>
      </c>
      <c r="H104" s="52">
        <f t="array" ref="H104">IF($B104="","",IFERROR(IF(INDEX('01_UngVien_PhongVan'!$H:$H,MATCH($B104,'01_UngVien_PhongVan'!$B:$B,0))=0,"",INDEX('01_UngVien_PhongVan'!$H:$H,MATCH($B104,'01_UngVien_PhongVan'!$B:$B,0))),""))</f>
      </c>
      <c r="I104" s="60">
        <f t="array" ref="I104">IF($B104="","",IFERROR(IF(INDEX('01_UngVien_PhongVan'!$I:$I,MATCH($B104,'01_UngVien_PhongVan'!$B:$B,0))=0,"",INDEX('01_UngVien_PhongVan'!$I:$I,MATCH($B104,'01_UngVien_PhongVan'!$B:$B,0))),""))</f>
      </c>
      <c r="J104" s="60">
        <f t="array" ref="J104">IF($B104="","",IFERROR(IF(INDEX('01_UngVien_PhongVan'!$J:$J,MATCH($B104,'01_UngVien_PhongVan'!$B:$B,0))=0,"",INDEX('01_UngVien_PhongVan'!$J:$J,MATCH($B104,'01_UngVien_PhongVan'!$B:$B,0))),""))</f>
      </c>
      <c r="K104" s="73">
        <f t="array" ref="K104">IF($B104="","",IFERROR(IF(INDEX('01_UngVien_PhongVan'!$K:$K,MATCH($B104,'01_UngVien_PhongVan'!$B:$B,0))=0,"",INDEX('01_UngVien_PhongVan'!$K:$K,MATCH($B104,'01_UngVien_PhongVan'!$B:$B,0))),""))</f>
      </c>
      <c r="L104" s="60">
        <f t="array" ref="L104">IF($B104="","",IFERROR(IF(INDEX('01_UngVien_PhongVan'!$L:$L,MATCH($B104,'01_UngVien_PhongVan'!$B:$B,0))=0,"",INDEX('01_UngVien_PhongVan'!$L:$L,MATCH($B104,'01_UngVien_PhongVan'!$B:$B,0))),""))</f>
      </c>
      <c r="M104" s="60">
        <f t="array" ref="M104">IF($B104="","",IFERROR(IF(INDEX('01_UngVien_PhongVan'!$E:$E,MATCH($B104,'01_UngVien_PhongVan'!$B:$B,0))=0,"",INDEX('01_UngVien_PhongVan'!$E:$E,MATCH($B104,'01_UngVien_PhongVan'!$B:$B,0))),""))</f>
      </c>
      <c r="N104" s="60">
        <f t="array" ref="N104">IF($B104="","",IFERROR(IF(INDEX('01_UngVien_PhongVan'!$M:$M,MATCH($B104,'01_UngVien_PhongVan'!$B:$B,0))=0,"",INDEX('01_UngVien_PhongVan'!$M:$M,MATCH($B104,'01_UngVien_PhongVan'!$B:$B,0))),""))</f>
      </c>
      <c r="O104" s="60">
        <f t="array" ref="O104">IF($B104="","",IFERROR(IF(INDEX('01_UngVien_PhongVan'!$N:$N,MATCH($B104,'01_UngVien_PhongVan'!$B:$B,0))=0,"",INDEX('01_UngVien_PhongVan'!$N:$N,MATCH($B104,'01_UngVien_PhongVan'!$B:$B,0))),""))</f>
      </c>
      <c r="P104" s="60">
        <f t="array" ref="P104">IF($B104="","",IFERROR(IF(INDEX('01_UngVien_PhongVan'!$O:$O,MATCH($B104,'01_UngVien_PhongVan'!$B:$B,0))=0,"",INDEX('01_UngVien_PhongVan'!$O:$O,MATCH($B104,'01_UngVien_PhongVan'!$B:$B,0))),""))</f>
      </c>
      <c r="Q104" s="60">
        <f t="array" ref="Q104">IF($B104="","",IFERROR(IF(INDEX('01_UngVien_PhongVan'!$P:$P,MATCH($B104,'01_UngVien_PhongVan'!$B:$B,0))=0,"",INDEX('01_UngVien_PhongVan'!$P:$P,MATCH($B104,'01_UngVien_PhongVan'!$B:$B,0))),""))</f>
      </c>
      <c r="R104" s="60">
        <f t="array" ref="R104">IF($B104="","",IFERROR(IF(INDEX('01_UngVien_PhongVan'!$Q:$Q,MATCH($B104,'01_UngVien_PhongVan'!$B:$B,0))=0,"",INDEX('01_UngVien_PhongVan'!$Q:$Q,MATCH($B104,'01_UngVien_PhongVan'!$B:$B,0))),""))</f>
      </c>
      <c r="S104" s="60">
        <f t="array" ref="S104">IF($B104="","",IFERROR(IF(INDEX('01_UngVien_PhongVan'!$R:$R,MATCH($B104,'01_UngVien_PhongVan'!$B:$B,0))=0,"",INDEX('01_UngVien_PhongVan'!$R:$R,MATCH($B104,'01_UngVien_PhongVan'!$B:$B,0))),""))</f>
      </c>
      <c r="T104" s="60">
        <f t="array" ref="T104">IF($B104="","",IFERROR(IF(INDEX('01_UngVien_PhongVan'!$U:$U,MATCH($B104,'01_UngVien_PhongVan'!$B:$B,0))=0,"",INDEX('01_UngVien_PhongVan'!$U:$U,MATCH($B104,'01_UngVien_PhongVan'!$B:$B,0))),""))</f>
      </c>
      <c r="U104" s="73">
        <f t="array" ref="U104">IF($B104="","",IFERROR(IF(INDEX('01_UngVien_PhongVan'!$C:$C,MATCH($B104,'01_UngVien_PhongVan'!$B:$B,0))=0,"",INDEX('01_UngVien_PhongVan'!$C:$C,MATCH($B104,'01_UngVien_PhongVan'!$B:$B,0))),""))</f>
      </c>
      <c r="V104" s="73">
        <f t="array" ref="V104">IF($B104="","",IFERROR(IF(INDEX('02_DS_Nhan_Viec'!$D:$D,MATCH($B104,'02_DS_Nhan_Viec'!$B:$B,0))=0,"",INDEX('02_DS_Nhan_Viec'!$D:$D,MATCH($B104,'02_DS_Nhan_Viec'!$B:$B,0))),""))</f>
      </c>
      <c r="W104" s="73">
        <f t="array" ref="W104">IF($B104="","",IFERROR(IF(INDEX('02_DS_Nhan_Viec'!$E:$E,MATCH($B104,'02_DS_Nhan_Viec'!$B:$B,0))=0,"",INDEX('02_DS_Nhan_Viec'!$E:$E,MATCH($B104,'02_DS_Nhan_Viec'!$B:$B,0))),""))</f>
      </c>
      <c r="X104" s="73">
        <f t="array" ref="X104">IF($C104="","",IFERROR(IF(INDEX('05_Theo_Doi_Gio_Cong_7_Ngay'!$P:$P,MATCH($C104,'05_Theo_Doi_Gio_Cong_7_Ngay'!$B:$B,0))=0,"",INDEX('05_Theo_Doi_Gio_Cong_7_Ngay'!$P:$P,MATCH($C104,'05_Theo_Doi_Gio_Cong_7_Ngay'!$B:$B,0))),""))</f>
      </c>
      <c r="Y104" s="60">
        <f t="array" ref="Y104">IF($C104="","",IFERROR(IF(INDEX('05_Theo_Doi_Gio_Cong_7_Ngay'!$M:$M,MATCH($C104,'05_Theo_Doi_Gio_Cong_7_Ngay'!$B:$B,0))=0,"",INDEX('05_Theo_Doi_Gio_Cong_7_Ngay'!$M:$M,MATCH($C104,'05_Theo_Doi_Gio_Cong_7_Ngay'!$B:$B,0))),""))</f>
      </c>
      <c r="Z104" s="60">
        <f t="array" ref="Z104">IF($C104="","",IFERROR(IF(INDEX('05_Theo_Doi_Gio_Cong_7_Ngay'!$Q:$Q,MATCH($C104,'05_Theo_Doi_Gio_Cong_7_Ngay'!$B:$B,0))=0,"",INDEX('05_Theo_Doi_Gio_Cong_7_Ngay'!$Q:$Q,MATCH($C104,'05_Theo_Doi_Gio_Cong_7_Ngay'!$B:$B,0))),""))</f>
      </c>
      <c r="AA104" s="60">
        <f t="array" ref="AA104">IF($B104="","",IFERROR(IF(INDEX('02_DS_Nhan_Viec'!$H:$H,MATCH($B104,'02_DS_Nhan_Viec'!$B:$B,0))=0,"",INDEX('02_DS_Nhan_Viec'!$H:$H,MATCH($B104,'02_DS_Nhan_Viec'!$B:$B,0))),""))</f>
      </c>
      <c r="AB104" s="60">
        <f t="array" ref="AB104">IF($B104="","",IFERROR(IF(INDEX('02_DS_Nhan_Viec'!$I:$I,MATCH($B104,'02_DS_Nhan_Viec'!$B:$B,0))=0,"",INDEX('02_DS_Nhan_Viec'!$I:$I,MATCH($B104,'02_DS_Nhan_Viec'!$B:$B,0))),""))</f>
      </c>
      <c r="AC104" s="61">
        <f t="array" ref="AC104">IF($B104="","",IF($C104="","Đang theo dõi",IF(OR(IFERROR(INDEX('05_Theo_Doi_Gio_Cong_7_Ngay'!$R:$R,MATCH($C104,'05_Theo_Doi_Gio_Cong_7_Ngay'!$B:$B,0)),"")="",IFERROR(INDEX('05_Theo_Doi_Gio_Cong_7_Ngay'!$R:$R,MATCH($C104,'05_Theo_Doi_Gio_Cong_7_Ngay'!$B:$B,0)),0)=0),"Đang theo dõi",IFERROR(INDEX('06_DS_Chinh_Thuc'!$K:$K,MATCH(IFERROR(INDEX('05_Theo_Doi_Gio_Cong_7_Ngay'!$R:$R,MATCH($C104,'05_Theo_Doi_Gio_Cong_7_Ngay'!$B:$B,0)),0),'06_DS_Chinh_Thuc'!$B:$B,0)),"Đang theo dõi"))))</f>
      </c>
    </row>
    <row r="105" ht="14.25" customHeight="1" spans="1:29" x14ac:dyDescent="0.25">
      <c r="A105" s="52">
        <f t="shared" si="0"/>
      </c>
      <c r="B105" s="52">
        <f t="array" ref="B105">IFERROR(INDEX('02_DS_Nhan_Viec'!$B:$B,MATCH(104,'02_DS_Nhan_Viec'!$M:$M,0)),"")</f>
      </c>
      <c r="C105" s="52">
        <f t="array" ref="C105">IF($B105="","",IFERROR(IF(INDEX('02_DS_Nhan_Viec'!$J:$J,MATCH($B105,'02_DS_Nhan_Viec'!$B:$B,0))=0,"",INDEX('02_DS_Nhan_Viec'!$J:$J,MATCH($B105,'02_DS_Nhan_Viec'!$B:$B,0))),""))</f>
      </c>
      <c r="D105" s="52">
        <f t="array" ref="D105">IF($C105="","",IFERROR(IF(INDEX('05_Theo_Doi_Gio_Cong_7_Ngay'!$R:$R,MATCH($C105,'05_Theo_Doi_Gio_Cong_7_Ngay'!$B:$B,0))=0,"",INDEX('05_Theo_Doi_Gio_Cong_7_Ngay'!$R:$R,MATCH($C105,'05_Theo_Doi_Gio_Cong_7_Ngay'!$B:$B,0))),""))</f>
      </c>
      <c r="E105" s="60">
        <f t="array" ref="E105">IF($B105="","",IFERROR(IF(INDEX('01_UngVien_PhongVan'!$D:$D,MATCH($B105,'01_UngVien_PhongVan'!$B:$B,0))=0,"",INDEX('01_UngVien_PhongVan'!$D:$D,MATCH($B105,'01_UngVien_PhongVan'!$B:$B,0))),""))</f>
      </c>
      <c r="F105" s="52">
        <f t="array" ref="F105">IF($B105="","",IFERROR(IF(INDEX('01_UngVien_PhongVan'!$F:$F,MATCH($B105,'01_UngVien_PhongVan'!$B:$B,0))=0,"",INDEX('01_UngVien_PhongVan'!$F:$F,MATCH($B105,'01_UngVien_PhongVan'!$B:$B,0))),""))</f>
      </c>
      <c r="G105" s="72">
        <f t="array" ref="G105">IF($B105="","",IFERROR(IF(INDEX('01_UngVien_PhongVan'!$G:$G,MATCH($B105,'01_UngVien_PhongVan'!$B:$B,0))=0,"",INDEX('01_UngVien_PhongVan'!$G:$G,MATCH($B105,'01_UngVien_PhongVan'!$B:$B,0))),""))</f>
      </c>
      <c r="H105" s="52">
        <f t="array" ref="H105">IF($B105="","",IFERROR(IF(INDEX('01_UngVien_PhongVan'!$H:$H,MATCH($B105,'01_UngVien_PhongVan'!$B:$B,0))=0,"",INDEX('01_UngVien_PhongVan'!$H:$H,MATCH($B105,'01_UngVien_PhongVan'!$B:$B,0))),""))</f>
      </c>
      <c r="I105" s="60">
        <f t="array" ref="I105">IF($B105="","",IFERROR(IF(INDEX('01_UngVien_PhongVan'!$I:$I,MATCH($B105,'01_UngVien_PhongVan'!$B:$B,0))=0,"",INDEX('01_UngVien_PhongVan'!$I:$I,MATCH($B105,'01_UngVien_PhongVan'!$B:$B,0))),""))</f>
      </c>
      <c r="J105" s="60">
        <f t="array" ref="J105">IF($B105="","",IFERROR(IF(INDEX('01_UngVien_PhongVan'!$J:$J,MATCH($B105,'01_UngVien_PhongVan'!$B:$B,0))=0,"",INDEX('01_UngVien_PhongVan'!$J:$J,MATCH($B105,'01_UngVien_PhongVan'!$B:$B,0))),""))</f>
      </c>
      <c r="K105" s="73">
        <f t="array" ref="K105">IF($B105="","",IFERROR(IF(INDEX('01_UngVien_PhongVan'!$K:$K,MATCH($B105,'01_UngVien_PhongVan'!$B:$B,0))=0,"",INDEX('01_UngVien_PhongVan'!$K:$K,MATCH($B105,'01_UngVien_PhongVan'!$B:$B,0))),""))</f>
      </c>
      <c r="L105" s="60">
        <f t="array" ref="L105">IF($B105="","",IFERROR(IF(INDEX('01_UngVien_PhongVan'!$L:$L,MATCH($B105,'01_UngVien_PhongVan'!$B:$B,0))=0,"",INDEX('01_UngVien_PhongVan'!$L:$L,MATCH($B105,'01_UngVien_PhongVan'!$B:$B,0))),""))</f>
      </c>
      <c r="M105" s="60">
        <f t="array" ref="M105">IF($B105="","",IFERROR(IF(INDEX('01_UngVien_PhongVan'!$E:$E,MATCH($B105,'01_UngVien_PhongVan'!$B:$B,0))=0,"",INDEX('01_UngVien_PhongVan'!$E:$E,MATCH($B105,'01_UngVien_PhongVan'!$B:$B,0))),""))</f>
      </c>
      <c r="N105" s="60">
        <f t="array" ref="N105">IF($B105="","",IFERROR(IF(INDEX('01_UngVien_PhongVan'!$M:$M,MATCH($B105,'01_UngVien_PhongVan'!$B:$B,0))=0,"",INDEX('01_UngVien_PhongVan'!$M:$M,MATCH($B105,'01_UngVien_PhongVan'!$B:$B,0))),""))</f>
      </c>
      <c r="O105" s="60">
        <f t="array" ref="O105">IF($B105="","",IFERROR(IF(INDEX('01_UngVien_PhongVan'!$N:$N,MATCH($B105,'01_UngVien_PhongVan'!$B:$B,0))=0,"",INDEX('01_UngVien_PhongVan'!$N:$N,MATCH($B105,'01_UngVien_PhongVan'!$B:$B,0))),""))</f>
      </c>
      <c r="P105" s="60">
        <f t="array" ref="P105">IF($B105="","",IFERROR(IF(INDEX('01_UngVien_PhongVan'!$O:$O,MATCH($B105,'01_UngVien_PhongVan'!$B:$B,0))=0,"",INDEX('01_UngVien_PhongVan'!$O:$O,MATCH($B105,'01_UngVien_PhongVan'!$B:$B,0))),""))</f>
      </c>
      <c r="Q105" s="60">
        <f t="array" ref="Q105">IF($B105="","",IFERROR(IF(INDEX('01_UngVien_PhongVan'!$P:$P,MATCH($B105,'01_UngVien_PhongVan'!$B:$B,0))=0,"",INDEX('01_UngVien_PhongVan'!$P:$P,MATCH($B105,'01_UngVien_PhongVan'!$B:$B,0))),""))</f>
      </c>
      <c r="R105" s="60">
        <f t="array" ref="R105">IF($B105="","",IFERROR(IF(INDEX('01_UngVien_PhongVan'!$Q:$Q,MATCH($B105,'01_UngVien_PhongVan'!$B:$B,0))=0,"",INDEX('01_UngVien_PhongVan'!$Q:$Q,MATCH($B105,'01_UngVien_PhongVan'!$B:$B,0))),""))</f>
      </c>
      <c r="S105" s="60">
        <f t="array" ref="S105">IF($B105="","",IFERROR(IF(INDEX('01_UngVien_PhongVan'!$R:$R,MATCH($B105,'01_UngVien_PhongVan'!$B:$B,0))=0,"",INDEX('01_UngVien_PhongVan'!$R:$R,MATCH($B105,'01_UngVien_PhongVan'!$B:$B,0))),""))</f>
      </c>
      <c r="T105" s="60">
        <f t="array" ref="T105">IF($B105="","",IFERROR(IF(INDEX('01_UngVien_PhongVan'!$U:$U,MATCH($B105,'01_UngVien_PhongVan'!$B:$B,0))=0,"",INDEX('01_UngVien_PhongVan'!$U:$U,MATCH($B105,'01_UngVien_PhongVan'!$B:$B,0))),""))</f>
      </c>
      <c r="U105" s="73">
        <f t="array" ref="U105">IF($B105="","",IFERROR(IF(INDEX('01_UngVien_PhongVan'!$C:$C,MATCH($B105,'01_UngVien_PhongVan'!$B:$B,0))=0,"",INDEX('01_UngVien_PhongVan'!$C:$C,MATCH($B105,'01_UngVien_PhongVan'!$B:$B,0))),""))</f>
      </c>
      <c r="V105" s="73">
        <f t="array" ref="V105">IF($B105="","",IFERROR(IF(INDEX('02_DS_Nhan_Viec'!$D:$D,MATCH($B105,'02_DS_Nhan_Viec'!$B:$B,0))=0,"",INDEX('02_DS_Nhan_Viec'!$D:$D,MATCH($B105,'02_DS_Nhan_Viec'!$B:$B,0))),""))</f>
      </c>
      <c r="W105" s="73">
        <f t="array" ref="W105">IF($B105="","",IFERROR(IF(INDEX('02_DS_Nhan_Viec'!$E:$E,MATCH($B105,'02_DS_Nhan_Viec'!$B:$B,0))=0,"",INDEX('02_DS_Nhan_Viec'!$E:$E,MATCH($B105,'02_DS_Nhan_Viec'!$B:$B,0))),""))</f>
      </c>
      <c r="X105" s="73">
        <f t="array" ref="X105">IF($C105="","",IFERROR(IF(INDEX('05_Theo_Doi_Gio_Cong_7_Ngay'!$P:$P,MATCH($C105,'05_Theo_Doi_Gio_Cong_7_Ngay'!$B:$B,0))=0,"",INDEX('05_Theo_Doi_Gio_Cong_7_Ngay'!$P:$P,MATCH($C105,'05_Theo_Doi_Gio_Cong_7_Ngay'!$B:$B,0))),""))</f>
      </c>
      <c r="Y105" s="60">
        <f t="array" ref="Y105">IF($C105="","",IFERROR(IF(INDEX('05_Theo_Doi_Gio_Cong_7_Ngay'!$M:$M,MATCH($C105,'05_Theo_Doi_Gio_Cong_7_Ngay'!$B:$B,0))=0,"",INDEX('05_Theo_Doi_Gio_Cong_7_Ngay'!$M:$M,MATCH($C105,'05_Theo_Doi_Gio_Cong_7_Ngay'!$B:$B,0))),""))</f>
      </c>
      <c r="Z105" s="60">
        <f t="array" ref="Z105">IF($C105="","",IFERROR(IF(INDEX('05_Theo_Doi_Gio_Cong_7_Ngay'!$Q:$Q,MATCH($C105,'05_Theo_Doi_Gio_Cong_7_Ngay'!$B:$B,0))=0,"",INDEX('05_Theo_Doi_Gio_Cong_7_Ngay'!$Q:$Q,MATCH($C105,'05_Theo_Doi_Gio_Cong_7_Ngay'!$B:$B,0))),""))</f>
      </c>
      <c r="AA105" s="60">
        <f t="array" ref="AA105">IF($B105="","",IFERROR(IF(INDEX('02_DS_Nhan_Viec'!$H:$H,MATCH($B105,'02_DS_Nhan_Viec'!$B:$B,0))=0,"",INDEX('02_DS_Nhan_Viec'!$H:$H,MATCH($B105,'02_DS_Nhan_Viec'!$B:$B,0))),""))</f>
      </c>
      <c r="AB105" s="60">
        <f t="array" ref="AB105">IF($B105="","",IFERROR(IF(INDEX('02_DS_Nhan_Viec'!$I:$I,MATCH($B105,'02_DS_Nhan_Viec'!$B:$B,0))=0,"",INDEX('02_DS_Nhan_Viec'!$I:$I,MATCH($B105,'02_DS_Nhan_Viec'!$B:$B,0))),""))</f>
      </c>
      <c r="AC105" s="61">
        <f t="array" ref="AC105">IF($B105="","",IF($C105="","Đang theo dõi",IF(OR(IFERROR(INDEX('05_Theo_Doi_Gio_Cong_7_Ngay'!$R:$R,MATCH($C105,'05_Theo_Doi_Gio_Cong_7_Ngay'!$B:$B,0)),"")="",IFERROR(INDEX('05_Theo_Doi_Gio_Cong_7_Ngay'!$R:$R,MATCH($C105,'05_Theo_Doi_Gio_Cong_7_Ngay'!$B:$B,0)),0)=0),"Đang theo dõi",IFERROR(INDEX('06_DS_Chinh_Thuc'!$K:$K,MATCH(IFERROR(INDEX('05_Theo_Doi_Gio_Cong_7_Ngay'!$R:$R,MATCH($C105,'05_Theo_Doi_Gio_Cong_7_Ngay'!$B:$B,0)),0),'06_DS_Chinh_Thuc'!$B:$B,0)),"Đang theo dõi"))))</f>
      </c>
    </row>
    <row r="106" ht="14.25" customHeight="1" spans="1:29" x14ac:dyDescent="0.25">
      <c r="A106" s="52">
        <f t="shared" si="0"/>
      </c>
      <c r="B106" s="52">
        <f t="array" ref="B106">IFERROR(INDEX('02_DS_Nhan_Viec'!$B:$B,MATCH(105,'02_DS_Nhan_Viec'!$M:$M,0)),"")</f>
      </c>
      <c r="C106" s="52">
        <f t="array" ref="C106">IF($B106="","",IFERROR(IF(INDEX('02_DS_Nhan_Viec'!$J:$J,MATCH($B106,'02_DS_Nhan_Viec'!$B:$B,0))=0,"",INDEX('02_DS_Nhan_Viec'!$J:$J,MATCH($B106,'02_DS_Nhan_Viec'!$B:$B,0))),""))</f>
      </c>
      <c r="D106" s="52">
        <f t="array" ref="D106">IF($C106="","",IFERROR(IF(INDEX('05_Theo_Doi_Gio_Cong_7_Ngay'!$R:$R,MATCH($C106,'05_Theo_Doi_Gio_Cong_7_Ngay'!$B:$B,0))=0,"",INDEX('05_Theo_Doi_Gio_Cong_7_Ngay'!$R:$R,MATCH($C106,'05_Theo_Doi_Gio_Cong_7_Ngay'!$B:$B,0))),""))</f>
      </c>
      <c r="E106" s="60">
        <f t="array" ref="E106">IF($B106="","",IFERROR(IF(INDEX('01_UngVien_PhongVan'!$D:$D,MATCH($B106,'01_UngVien_PhongVan'!$B:$B,0))=0,"",INDEX('01_UngVien_PhongVan'!$D:$D,MATCH($B106,'01_UngVien_PhongVan'!$B:$B,0))),""))</f>
      </c>
      <c r="F106" s="52">
        <f t="array" ref="F106">IF($B106="","",IFERROR(IF(INDEX('01_UngVien_PhongVan'!$F:$F,MATCH($B106,'01_UngVien_PhongVan'!$B:$B,0))=0,"",INDEX('01_UngVien_PhongVan'!$F:$F,MATCH($B106,'01_UngVien_PhongVan'!$B:$B,0))),""))</f>
      </c>
      <c r="G106" s="72">
        <f t="array" ref="G106">IF($B106="","",IFERROR(IF(INDEX('01_UngVien_PhongVan'!$G:$G,MATCH($B106,'01_UngVien_PhongVan'!$B:$B,0))=0,"",INDEX('01_UngVien_PhongVan'!$G:$G,MATCH($B106,'01_UngVien_PhongVan'!$B:$B,0))),""))</f>
      </c>
      <c r="H106" s="52">
        <f t="array" ref="H106">IF($B106="","",IFERROR(IF(INDEX('01_UngVien_PhongVan'!$H:$H,MATCH($B106,'01_UngVien_PhongVan'!$B:$B,0))=0,"",INDEX('01_UngVien_PhongVan'!$H:$H,MATCH($B106,'01_UngVien_PhongVan'!$B:$B,0))),""))</f>
      </c>
      <c r="I106" s="60">
        <f t="array" ref="I106">IF($B106="","",IFERROR(IF(INDEX('01_UngVien_PhongVan'!$I:$I,MATCH($B106,'01_UngVien_PhongVan'!$B:$B,0))=0,"",INDEX('01_UngVien_PhongVan'!$I:$I,MATCH($B106,'01_UngVien_PhongVan'!$B:$B,0))),""))</f>
      </c>
      <c r="J106" s="60">
        <f t="array" ref="J106">IF($B106="","",IFERROR(IF(INDEX('01_UngVien_PhongVan'!$J:$J,MATCH($B106,'01_UngVien_PhongVan'!$B:$B,0))=0,"",INDEX('01_UngVien_PhongVan'!$J:$J,MATCH($B106,'01_UngVien_PhongVan'!$B:$B,0))),""))</f>
      </c>
      <c r="K106" s="73">
        <f t="array" ref="K106">IF($B106="","",IFERROR(IF(INDEX('01_UngVien_PhongVan'!$K:$K,MATCH($B106,'01_UngVien_PhongVan'!$B:$B,0))=0,"",INDEX('01_UngVien_PhongVan'!$K:$K,MATCH($B106,'01_UngVien_PhongVan'!$B:$B,0))),""))</f>
      </c>
      <c r="L106" s="60">
        <f t="array" ref="L106">IF($B106="","",IFERROR(IF(INDEX('01_UngVien_PhongVan'!$L:$L,MATCH($B106,'01_UngVien_PhongVan'!$B:$B,0))=0,"",INDEX('01_UngVien_PhongVan'!$L:$L,MATCH($B106,'01_UngVien_PhongVan'!$B:$B,0))),""))</f>
      </c>
      <c r="M106" s="60">
        <f t="array" ref="M106">IF($B106="","",IFERROR(IF(INDEX('01_UngVien_PhongVan'!$E:$E,MATCH($B106,'01_UngVien_PhongVan'!$B:$B,0))=0,"",INDEX('01_UngVien_PhongVan'!$E:$E,MATCH($B106,'01_UngVien_PhongVan'!$B:$B,0))),""))</f>
      </c>
      <c r="N106" s="60">
        <f t="array" ref="N106">IF($B106="","",IFERROR(IF(INDEX('01_UngVien_PhongVan'!$M:$M,MATCH($B106,'01_UngVien_PhongVan'!$B:$B,0))=0,"",INDEX('01_UngVien_PhongVan'!$M:$M,MATCH($B106,'01_UngVien_PhongVan'!$B:$B,0))),""))</f>
      </c>
      <c r="O106" s="60">
        <f t="array" ref="O106">IF($B106="","",IFERROR(IF(INDEX('01_UngVien_PhongVan'!$N:$N,MATCH($B106,'01_UngVien_PhongVan'!$B:$B,0))=0,"",INDEX('01_UngVien_PhongVan'!$N:$N,MATCH($B106,'01_UngVien_PhongVan'!$B:$B,0))),""))</f>
      </c>
      <c r="P106" s="60">
        <f t="array" ref="P106">IF($B106="","",IFERROR(IF(INDEX('01_UngVien_PhongVan'!$O:$O,MATCH($B106,'01_UngVien_PhongVan'!$B:$B,0))=0,"",INDEX('01_UngVien_PhongVan'!$O:$O,MATCH($B106,'01_UngVien_PhongVan'!$B:$B,0))),""))</f>
      </c>
      <c r="Q106" s="60">
        <f t="array" ref="Q106">IF($B106="","",IFERROR(IF(INDEX('01_UngVien_PhongVan'!$P:$P,MATCH($B106,'01_UngVien_PhongVan'!$B:$B,0))=0,"",INDEX('01_UngVien_PhongVan'!$P:$P,MATCH($B106,'01_UngVien_PhongVan'!$B:$B,0))),""))</f>
      </c>
      <c r="R106" s="60">
        <f t="array" ref="R106">IF($B106="","",IFERROR(IF(INDEX('01_UngVien_PhongVan'!$Q:$Q,MATCH($B106,'01_UngVien_PhongVan'!$B:$B,0))=0,"",INDEX('01_UngVien_PhongVan'!$Q:$Q,MATCH($B106,'01_UngVien_PhongVan'!$B:$B,0))),""))</f>
      </c>
      <c r="S106" s="60">
        <f t="array" ref="S106">IF($B106="","",IFERROR(IF(INDEX('01_UngVien_PhongVan'!$R:$R,MATCH($B106,'01_UngVien_PhongVan'!$B:$B,0))=0,"",INDEX('01_UngVien_PhongVan'!$R:$R,MATCH($B106,'01_UngVien_PhongVan'!$B:$B,0))),""))</f>
      </c>
      <c r="T106" s="60">
        <f t="array" ref="T106">IF($B106="","",IFERROR(IF(INDEX('01_UngVien_PhongVan'!$U:$U,MATCH($B106,'01_UngVien_PhongVan'!$B:$B,0))=0,"",INDEX('01_UngVien_PhongVan'!$U:$U,MATCH($B106,'01_UngVien_PhongVan'!$B:$B,0))),""))</f>
      </c>
      <c r="U106" s="73">
        <f t="array" ref="U106">IF($B106="","",IFERROR(IF(INDEX('01_UngVien_PhongVan'!$C:$C,MATCH($B106,'01_UngVien_PhongVan'!$B:$B,0))=0,"",INDEX('01_UngVien_PhongVan'!$C:$C,MATCH($B106,'01_UngVien_PhongVan'!$B:$B,0))),""))</f>
      </c>
      <c r="V106" s="73">
        <f t="array" ref="V106">IF($B106="","",IFERROR(IF(INDEX('02_DS_Nhan_Viec'!$D:$D,MATCH($B106,'02_DS_Nhan_Viec'!$B:$B,0))=0,"",INDEX('02_DS_Nhan_Viec'!$D:$D,MATCH($B106,'02_DS_Nhan_Viec'!$B:$B,0))),""))</f>
      </c>
      <c r="W106" s="73">
        <f t="array" ref="W106">IF($B106="","",IFERROR(IF(INDEX('02_DS_Nhan_Viec'!$E:$E,MATCH($B106,'02_DS_Nhan_Viec'!$B:$B,0))=0,"",INDEX('02_DS_Nhan_Viec'!$E:$E,MATCH($B106,'02_DS_Nhan_Viec'!$B:$B,0))),""))</f>
      </c>
      <c r="X106" s="73">
        <f t="array" ref="X106">IF($C106="","",IFERROR(IF(INDEX('05_Theo_Doi_Gio_Cong_7_Ngay'!$P:$P,MATCH($C106,'05_Theo_Doi_Gio_Cong_7_Ngay'!$B:$B,0))=0,"",INDEX('05_Theo_Doi_Gio_Cong_7_Ngay'!$P:$P,MATCH($C106,'05_Theo_Doi_Gio_Cong_7_Ngay'!$B:$B,0))),""))</f>
      </c>
      <c r="Y106" s="60">
        <f t="array" ref="Y106">IF($C106="","",IFERROR(IF(INDEX('05_Theo_Doi_Gio_Cong_7_Ngay'!$M:$M,MATCH($C106,'05_Theo_Doi_Gio_Cong_7_Ngay'!$B:$B,0))=0,"",INDEX('05_Theo_Doi_Gio_Cong_7_Ngay'!$M:$M,MATCH($C106,'05_Theo_Doi_Gio_Cong_7_Ngay'!$B:$B,0))),""))</f>
      </c>
      <c r="Z106" s="60">
        <f t="array" ref="Z106">IF($C106="","",IFERROR(IF(INDEX('05_Theo_Doi_Gio_Cong_7_Ngay'!$Q:$Q,MATCH($C106,'05_Theo_Doi_Gio_Cong_7_Ngay'!$B:$B,0))=0,"",INDEX('05_Theo_Doi_Gio_Cong_7_Ngay'!$Q:$Q,MATCH($C106,'05_Theo_Doi_Gio_Cong_7_Ngay'!$B:$B,0))),""))</f>
      </c>
      <c r="AA106" s="60">
        <f t="array" ref="AA106">IF($B106="","",IFERROR(IF(INDEX('02_DS_Nhan_Viec'!$H:$H,MATCH($B106,'02_DS_Nhan_Viec'!$B:$B,0))=0,"",INDEX('02_DS_Nhan_Viec'!$H:$H,MATCH($B106,'02_DS_Nhan_Viec'!$B:$B,0))),""))</f>
      </c>
      <c r="AB106" s="60">
        <f t="array" ref="AB106">IF($B106="","",IFERROR(IF(INDEX('02_DS_Nhan_Viec'!$I:$I,MATCH($B106,'02_DS_Nhan_Viec'!$B:$B,0))=0,"",INDEX('02_DS_Nhan_Viec'!$I:$I,MATCH($B106,'02_DS_Nhan_Viec'!$B:$B,0))),""))</f>
      </c>
      <c r="AC106" s="61">
        <f t="array" ref="AC106">IF($B106="","",IF($C106="","Đang theo dõi",IF(OR(IFERROR(INDEX('05_Theo_Doi_Gio_Cong_7_Ngay'!$R:$R,MATCH($C106,'05_Theo_Doi_Gio_Cong_7_Ngay'!$B:$B,0)),"")="",IFERROR(INDEX('05_Theo_Doi_Gio_Cong_7_Ngay'!$R:$R,MATCH($C106,'05_Theo_Doi_Gio_Cong_7_Ngay'!$B:$B,0)),0)=0),"Đang theo dõi",IFERROR(INDEX('06_DS_Chinh_Thuc'!$K:$K,MATCH(IFERROR(INDEX('05_Theo_Doi_Gio_Cong_7_Ngay'!$R:$R,MATCH($C106,'05_Theo_Doi_Gio_Cong_7_Ngay'!$B:$B,0)),0),'06_DS_Chinh_Thuc'!$B:$B,0)),"Đang theo dõi"))))</f>
      </c>
    </row>
    <row r="107" ht="14.25" customHeight="1" spans="1:29" x14ac:dyDescent="0.25">
      <c r="A107" s="52">
        <f t="shared" si="0"/>
      </c>
      <c r="B107" s="52">
        <f t="array" ref="B107">IFERROR(INDEX('02_DS_Nhan_Viec'!$B:$B,MATCH(106,'02_DS_Nhan_Viec'!$M:$M,0)),"")</f>
      </c>
      <c r="C107" s="52">
        <f t="array" ref="C107">IF($B107="","",IFERROR(IF(INDEX('02_DS_Nhan_Viec'!$J:$J,MATCH($B107,'02_DS_Nhan_Viec'!$B:$B,0))=0,"",INDEX('02_DS_Nhan_Viec'!$J:$J,MATCH($B107,'02_DS_Nhan_Viec'!$B:$B,0))),""))</f>
      </c>
      <c r="D107" s="52">
        <f t="array" ref="D107">IF($C107="","",IFERROR(IF(INDEX('05_Theo_Doi_Gio_Cong_7_Ngay'!$R:$R,MATCH($C107,'05_Theo_Doi_Gio_Cong_7_Ngay'!$B:$B,0))=0,"",INDEX('05_Theo_Doi_Gio_Cong_7_Ngay'!$R:$R,MATCH($C107,'05_Theo_Doi_Gio_Cong_7_Ngay'!$B:$B,0))),""))</f>
      </c>
      <c r="E107" s="60">
        <f t="array" ref="E107">IF($B107="","",IFERROR(IF(INDEX('01_UngVien_PhongVan'!$D:$D,MATCH($B107,'01_UngVien_PhongVan'!$B:$B,0))=0,"",INDEX('01_UngVien_PhongVan'!$D:$D,MATCH($B107,'01_UngVien_PhongVan'!$B:$B,0))),""))</f>
      </c>
      <c r="F107" s="52">
        <f t="array" ref="F107">IF($B107="","",IFERROR(IF(INDEX('01_UngVien_PhongVan'!$F:$F,MATCH($B107,'01_UngVien_PhongVan'!$B:$B,0))=0,"",INDEX('01_UngVien_PhongVan'!$F:$F,MATCH($B107,'01_UngVien_PhongVan'!$B:$B,0))),""))</f>
      </c>
      <c r="G107" s="72">
        <f t="array" ref="G107">IF($B107="","",IFERROR(IF(INDEX('01_UngVien_PhongVan'!$G:$G,MATCH($B107,'01_UngVien_PhongVan'!$B:$B,0))=0,"",INDEX('01_UngVien_PhongVan'!$G:$G,MATCH($B107,'01_UngVien_PhongVan'!$B:$B,0))),""))</f>
      </c>
      <c r="H107" s="52">
        <f t="array" ref="H107">IF($B107="","",IFERROR(IF(INDEX('01_UngVien_PhongVan'!$H:$H,MATCH($B107,'01_UngVien_PhongVan'!$B:$B,0))=0,"",INDEX('01_UngVien_PhongVan'!$H:$H,MATCH($B107,'01_UngVien_PhongVan'!$B:$B,0))),""))</f>
      </c>
      <c r="I107" s="60">
        <f t="array" ref="I107">IF($B107="","",IFERROR(IF(INDEX('01_UngVien_PhongVan'!$I:$I,MATCH($B107,'01_UngVien_PhongVan'!$B:$B,0))=0,"",INDEX('01_UngVien_PhongVan'!$I:$I,MATCH($B107,'01_UngVien_PhongVan'!$B:$B,0))),""))</f>
      </c>
      <c r="J107" s="60">
        <f t="array" ref="J107">IF($B107="","",IFERROR(IF(INDEX('01_UngVien_PhongVan'!$J:$J,MATCH($B107,'01_UngVien_PhongVan'!$B:$B,0))=0,"",INDEX('01_UngVien_PhongVan'!$J:$J,MATCH($B107,'01_UngVien_PhongVan'!$B:$B,0))),""))</f>
      </c>
      <c r="K107" s="73">
        <f t="array" ref="K107">IF($B107="","",IFERROR(IF(INDEX('01_UngVien_PhongVan'!$K:$K,MATCH($B107,'01_UngVien_PhongVan'!$B:$B,0))=0,"",INDEX('01_UngVien_PhongVan'!$K:$K,MATCH($B107,'01_UngVien_PhongVan'!$B:$B,0))),""))</f>
      </c>
      <c r="L107" s="60">
        <f t="array" ref="L107">IF($B107="","",IFERROR(IF(INDEX('01_UngVien_PhongVan'!$L:$L,MATCH($B107,'01_UngVien_PhongVan'!$B:$B,0))=0,"",INDEX('01_UngVien_PhongVan'!$L:$L,MATCH($B107,'01_UngVien_PhongVan'!$B:$B,0))),""))</f>
      </c>
      <c r="M107" s="60">
        <f t="array" ref="M107">IF($B107="","",IFERROR(IF(INDEX('01_UngVien_PhongVan'!$E:$E,MATCH($B107,'01_UngVien_PhongVan'!$B:$B,0))=0,"",INDEX('01_UngVien_PhongVan'!$E:$E,MATCH($B107,'01_UngVien_PhongVan'!$B:$B,0))),""))</f>
      </c>
      <c r="N107" s="60">
        <f t="array" ref="N107">IF($B107="","",IFERROR(IF(INDEX('01_UngVien_PhongVan'!$M:$M,MATCH($B107,'01_UngVien_PhongVan'!$B:$B,0))=0,"",INDEX('01_UngVien_PhongVan'!$M:$M,MATCH($B107,'01_UngVien_PhongVan'!$B:$B,0))),""))</f>
      </c>
      <c r="O107" s="60">
        <f t="array" ref="O107">IF($B107="","",IFERROR(IF(INDEX('01_UngVien_PhongVan'!$N:$N,MATCH($B107,'01_UngVien_PhongVan'!$B:$B,0))=0,"",INDEX('01_UngVien_PhongVan'!$N:$N,MATCH($B107,'01_UngVien_PhongVan'!$B:$B,0))),""))</f>
      </c>
      <c r="P107" s="60">
        <f t="array" ref="P107">IF($B107="","",IFERROR(IF(INDEX('01_UngVien_PhongVan'!$O:$O,MATCH($B107,'01_UngVien_PhongVan'!$B:$B,0))=0,"",INDEX('01_UngVien_PhongVan'!$O:$O,MATCH($B107,'01_UngVien_PhongVan'!$B:$B,0))),""))</f>
      </c>
      <c r="Q107" s="60">
        <f t="array" ref="Q107">IF($B107="","",IFERROR(IF(INDEX('01_UngVien_PhongVan'!$P:$P,MATCH($B107,'01_UngVien_PhongVan'!$B:$B,0))=0,"",INDEX('01_UngVien_PhongVan'!$P:$P,MATCH($B107,'01_UngVien_PhongVan'!$B:$B,0))),""))</f>
      </c>
      <c r="R107" s="60">
        <f t="array" ref="R107">IF($B107="","",IFERROR(IF(INDEX('01_UngVien_PhongVan'!$Q:$Q,MATCH($B107,'01_UngVien_PhongVan'!$B:$B,0))=0,"",INDEX('01_UngVien_PhongVan'!$Q:$Q,MATCH($B107,'01_UngVien_PhongVan'!$B:$B,0))),""))</f>
      </c>
      <c r="S107" s="60">
        <f t="array" ref="S107">IF($B107="","",IFERROR(IF(INDEX('01_UngVien_PhongVan'!$R:$R,MATCH($B107,'01_UngVien_PhongVan'!$B:$B,0))=0,"",INDEX('01_UngVien_PhongVan'!$R:$R,MATCH($B107,'01_UngVien_PhongVan'!$B:$B,0))),""))</f>
      </c>
      <c r="T107" s="60">
        <f t="array" ref="T107">IF($B107="","",IFERROR(IF(INDEX('01_UngVien_PhongVan'!$U:$U,MATCH($B107,'01_UngVien_PhongVan'!$B:$B,0))=0,"",INDEX('01_UngVien_PhongVan'!$U:$U,MATCH($B107,'01_UngVien_PhongVan'!$B:$B,0))),""))</f>
      </c>
      <c r="U107" s="73">
        <f t="array" ref="U107">IF($B107="","",IFERROR(IF(INDEX('01_UngVien_PhongVan'!$C:$C,MATCH($B107,'01_UngVien_PhongVan'!$B:$B,0))=0,"",INDEX('01_UngVien_PhongVan'!$C:$C,MATCH($B107,'01_UngVien_PhongVan'!$B:$B,0))),""))</f>
      </c>
      <c r="V107" s="73">
        <f t="array" ref="V107">IF($B107="","",IFERROR(IF(INDEX('02_DS_Nhan_Viec'!$D:$D,MATCH($B107,'02_DS_Nhan_Viec'!$B:$B,0))=0,"",INDEX('02_DS_Nhan_Viec'!$D:$D,MATCH($B107,'02_DS_Nhan_Viec'!$B:$B,0))),""))</f>
      </c>
      <c r="W107" s="73">
        <f t="array" ref="W107">IF($B107="","",IFERROR(IF(INDEX('02_DS_Nhan_Viec'!$E:$E,MATCH($B107,'02_DS_Nhan_Viec'!$B:$B,0))=0,"",INDEX('02_DS_Nhan_Viec'!$E:$E,MATCH($B107,'02_DS_Nhan_Viec'!$B:$B,0))),""))</f>
      </c>
      <c r="X107" s="73">
        <f t="array" ref="X107">IF($C107="","",IFERROR(IF(INDEX('05_Theo_Doi_Gio_Cong_7_Ngay'!$P:$P,MATCH($C107,'05_Theo_Doi_Gio_Cong_7_Ngay'!$B:$B,0))=0,"",INDEX('05_Theo_Doi_Gio_Cong_7_Ngay'!$P:$P,MATCH($C107,'05_Theo_Doi_Gio_Cong_7_Ngay'!$B:$B,0))),""))</f>
      </c>
      <c r="Y107" s="60">
        <f t="array" ref="Y107">IF($C107="","",IFERROR(IF(INDEX('05_Theo_Doi_Gio_Cong_7_Ngay'!$M:$M,MATCH($C107,'05_Theo_Doi_Gio_Cong_7_Ngay'!$B:$B,0))=0,"",INDEX('05_Theo_Doi_Gio_Cong_7_Ngay'!$M:$M,MATCH($C107,'05_Theo_Doi_Gio_Cong_7_Ngay'!$B:$B,0))),""))</f>
      </c>
      <c r="Z107" s="60">
        <f t="array" ref="Z107">IF($C107="","",IFERROR(IF(INDEX('05_Theo_Doi_Gio_Cong_7_Ngay'!$Q:$Q,MATCH($C107,'05_Theo_Doi_Gio_Cong_7_Ngay'!$B:$B,0))=0,"",INDEX('05_Theo_Doi_Gio_Cong_7_Ngay'!$Q:$Q,MATCH($C107,'05_Theo_Doi_Gio_Cong_7_Ngay'!$B:$B,0))),""))</f>
      </c>
      <c r="AA107" s="60">
        <f t="array" ref="AA107">IF($B107="","",IFERROR(IF(INDEX('02_DS_Nhan_Viec'!$H:$H,MATCH($B107,'02_DS_Nhan_Viec'!$B:$B,0))=0,"",INDEX('02_DS_Nhan_Viec'!$H:$H,MATCH($B107,'02_DS_Nhan_Viec'!$B:$B,0))),""))</f>
      </c>
      <c r="AB107" s="60">
        <f t="array" ref="AB107">IF($B107="","",IFERROR(IF(INDEX('02_DS_Nhan_Viec'!$I:$I,MATCH($B107,'02_DS_Nhan_Viec'!$B:$B,0))=0,"",INDEX('02_DS_Nhan_Viec'!$I:$I,MATCH($B107,'02_DS_Nhan_Viec'!$B:$B,0))),""))</f>
      </c>
      <c r="AC107" s="61">
        <f t="array" ref="AC107">IF($B107="","",IF($C107="","Đang theo dõi",IF(OR(IFERROR(INDEX('05_Theo_Doi_Gio_Cong_7_Ngay'!$R:$R,MATCH($C107,'05_Theo_Doi_Gio_Cong_7_Ngay'!$B:$B,0)),"")="",IFERROR(INDEX('05_Theo_Doi_Gio_Cong_7_Ngay'!$R:$R,MATCH($C107,'05_Theo_Doi_Gio_Cong_7_Ngay'!$B:$B,0)),0)=0),"Đang theo dõi",IFERROR(INDEX('06_DS_Chinh_Thuc'!$K:$K,MATCH(IFERROR(INDEX('05_Theo_Doi_Gio_Cong_7_Ngay'!$R:$R,MATCH($C107,'05_Theo_Doi_Gio_Cong_7_Ngay'!$B:$B,0)),0),'06_DS_Chinh_Thuc'!$B:$B,0)),"Đang theo dõi"))))</f>
      </c>
    </row>
    <row r="108" ht="14.25" customHeight="1" spans="1:29" x14ac:dyDescent="0.25">
      <c r="A108" s="52">
        <f t="shared" si="0"/>
      </c>
      <c r="B108" s="52">
        <f t="array" ref="B108">IFERROR(INDEX('02_DS_Nhan_Viec'!$B:$B,MATCH(107,'02_DS_Nhan_Viec'!$M:$M,0)),"")</f>
      </c>
      <c r="C108" s="52">
        <f t="array" ref="C108">IF($B108="","",IFERROR(IF(INDEX('02_DS_Nhan_Viec'!$J:$J,MATCH($B108,'02_DS_Nhan_Viec'!$B:$B,0))=0,"",INDEX('02_DS_Nhan_Viec'!$J:$J,MATCH($B108,'02_DS_Nhan_Viec'!$B:$B,0))),""))</f>
      </c>
      <c r="D108" s="52">
        <f t="array" ref="D108">IF($C108="","",IFERROR(IF(INDEX('05_Theo_Doi_Gio_Cong_7_Ngay'!$R:$R,MATCH($C108,'05_Theo_Doi_Gio_Cong_7_Ngay'!$B:$B,0))=0,"",INDEX('05_Theo_Doi_Gio_Cong_7_Ngay'!$R:$R,MATCH($C108,'05_Theo_Doi_Gio_Cong_7_Ngay'!$B:$B,0))),""))</f>
      </c>
      <c r="E108" s="60">
        <f t="array" ref="E108">IF($B108="","",IFERROR(IF(INDEX('01_UngVien_PhongVan'!$D:$D,MATCH($B108,'01_UngVien_PhongVan'!$B:$B,0))=0,"",INDEX('01_UngVien_PhongVan'!$D:$D,MATCH($B108,'01_UngVien_PhongVan'!$B:$B,0))),""))</f>
      </c>
      <c r="F108" s="52">
        <f t="array" ref="F108">IF($B108="","",IFERROR(IF(INDEX('01_UngVien_PhongVan'!$F:$F,MATCH($B108,'01_UngVien_PhongVan'!$B:$B,0))=0,"",INDEX('01_UngVien_PhongVan'!$F:$F,MATCH($B108,'01_UngVien_PhongVan'!$B:$B,0))),""))</f>
      </c>
      <c r="G108" s="72">
        <f t="array" ref="G108">IF($B108="","",IFERROR(IF(INDEX('01_UngVien_PhongVan'!$G:$G,MATCH($B108,'01_UngVien_PhongVan'!$B:$B,0))=0,"",INDEX('01_UngVien_PhongVan'!$G:$G,MATCH($B108,'01_UngVien_PhongVan'!$B:$B,0))),""))</f>
      </c>
      <c r="H108" s="52">
        <f t="array" ref="H108">IF($B108="","",IFERROR(IF(INDEX('01_UngVien_PhongVan'!$H:$H,MATCH($B108,'01_UngVien_PhongVan'!$B:$B,0))=0,"",INDEX('01_UngVien_PhongVan'!$H:$H,MATCH($B108,'01_UngVien_PhongVan'!$B:$B,0))),""))</f>
      </c>
      <c r="I108" s="60">
        <f t="array" ref="I108">IF($B108="","",IFERROR(IF(INDEX('01_UngVien_PhongVan'!$I:$I,MATCH($B108,'01_UngVien_PhongVan'!$B:$B,0))=0,"",INDEX('01_UngVien_PhongVan'!$I:$I,MATCH($B108,'01_UngVien_PhongVan'!$B:$B,0))),""))</f>
      </c>
      <c r="J108" s="60">
        <f t="array" ref="J108">IF($B108="","",IFERROR(IF(INDEX('01_UngVien_PhongVan'!$J:$J,MATCH($B108,'01_UngVien_PhongVan'!$B:$B,0))=0,"",INDEX('01_UngVien_PhongVan'!$J:$J,MATCH($B108,'01_UngVien_PhongVan'!$B:$B,0))),""))</f>
      </c>
      <c r="K108" s="73">
        <f t="array" ref="K108">IF($B108="","",IFERROR(IF(INDEX('01_UngVien_PhongVan'!$K:$K,MATCH($B108,'01_UngVien_PhongVan'!$B:$B,0))=0,"",INDEX('01_UngVien_PhongVan'!$K:$K,MATCH($B108,'01_UngVien_PhongVan'!$B:$B,0))),""))</f>
      </c>
      <c r="L108" s="60">
        <f t="array" ref="L108">IF($B108="","",IFERROR(IF(INDEX('01_UngVien_PhongVan'!$L:$L,MATCH($B108,'01_UngVien_PhongVan'!$B:$B,0))=0,"",INDEX('01_UngVien_PhongVan'!$L:$L,MATCH($B108,'01_UngVien_PhongVan'!$B:$B,0))),""))</f>
      </c>
      <c r="M108" s="60">
        <f t="array" ref="M108">IF($B108="","",IFERROR(IF(INDEX('01_UngVien_PhongVan'!$E:$E,MATCH($B108,'01_UngVien_PhongVan'!$B:$B,0))=0,"",INDEX('01_UngVien_PhongVan'!$E:$E,MATCH($B108,'01_UngVien_PhongVan'!$B:$B,0))),""))</f>
      </c>
      <c r="N108" s="60">
        <f t="array" ref="N108">IF($B108="","",IFERROR(IF(INDEX('01_UngVien_PhongVan'!$M:$M,MATCH($B108,'01_UngVien_PhongVan'!$B:$B,0))=0,"",INDEX('01_UngVien_PhongVan'!$M:$M,MATCH($B108,'01_UngVien_PhongVan'!$B:$B,0))),""))</f>
      </c>
      <c r="O108" s="60">
        <f t="array" ref="O108">IF($B108="","",IFERROR(IF(INDEX('01_UngVien_PhongVan'!$N:$N,MATCH($B108,'01_UngVien_PhongVan'!$B:$B,0))=0,"",INDEX('01_UngVien_PhongVan'!$N:$N,MATCH($B108,'01_UngVien_PhongVan'!$B:$B,0))),""))</f>
      </c>
      <c r="P108" s="60">
        <f t="array" ref="P108">IF($B108="","",IFERROR(IF(INDEX('01_UngVien_PhongVan'!$O:$O,MATCH($B108,'01_UngVien_PhongVan'!$B:$B,0))=0,"",INDEX('01_UngVien_PhongVan'!$O:$O,MATCH($B108,'01_UngVien_PhongVan'!$B:$B,0))),""))</f>
      </c>
      <c r="Q108" s="60">
        <f t="array" ref="Q108">IF($B108="","",IFERROR(IF(INDEX('01_UngVien_PhongVan'!$P:$P,MATCH($B108,'01_UngVien_PhongVan'!$B:$B,0))=0,"",INDEX('01_UngVien_PhongVan'!$P:$P,MATCH($B108,'01_UngVien_PhongVan'!$B:$B,0))),""))</f>
      </c>
      <c r="R108" s="60">
        <f t="array" ref="R108">IF($B108="","",IFERROR(IF(INDEX('01_UngVien_PhongVan'!$Q:$Q,MATCH($B108,'01_UngVien_PhongVan'!$B:$B,0))=0,"",INDEX('01_UngVien_PhongVan'!$Q:$Q,MATCH($B108,'01_UngVien_PhongVan'!$B:$B,0))),""))</f>
      </c>
      <c r="S108" s="60">
        <f t="array" ref="S108">IF($B108="","",IFERROR(IF(INDEX('01_UngVien_PhongVan'!$R:$R,MATCH($B108,'01_UngVien_PhongVan'!$B:$B,0))=0,"",INDEX('01_UngVien_PhongVan'!$R:$R,MATCH($B108,'01_UngVien_PhongVan'!$B:$B,0))),""))</f>
      </c>
      <c r="T108" s="60">
        <f t="array" ref="T108">IF($B108="","",IFERROR(IF(INDEX('01_UngVien_PhongVan'!$U:$U,MATCH($B108,'01_UngVien_PhongVan'!$B:$B,0))=0,"",INDEX('01_UngVien_PhongVan'!$U:$U,MATCH($B108,'01_UngVien_PhongVan'!$B:$B,0))),""))</f>
      </c>
      <c r="U108" s="73">
        <f t="array" ref="U108">IF($B108="","",IFERROR(IF(INDEX('01_UngVien_PhongVan'!$C:$C,MATCH($B108,'01_UngVien_PhongVan'!$B:$B,0))=0,"",INDEX('01_UngVien_PhongVan'!$C:$C,MATCH($B108,'01_UngVien_PhongVan'!$B:$B,0))),""))</f>
      </c>
      <c r="V108" s="73">
        <f t="array" ref="V108">IF($B108="","",IFERROR(IF(INDEX('02_DS_Nhan_Viec'!$D:$D,MATCH($B108,'02_DS_Nhan_Viec'!$B:$B,0))=0,"",INDEX('02_DS_Nhan_Viec'!$D:$D,MATCH($B108,'02_DS_Nhan_Viec'!$B:$B,0))),""))</f>
      </c>
      <c r="W108" s="73">
        <f t="array" ref="W108">IF($B108="","",IFERROR(IF(INDEX('02_DS_Nhan_Viec'!$E:$E,MATCH($B108,'02_DS_Nhan_Viec'!$B:$B,0))=0,"",INDEX('02_DS_Nhan_Viec'!$E:$E,MATCH($B108,'02_DS_Nhan_Viec'!$B:$B,0))),""))</f>
      </c>
      <c r="X108" s="73">
        <f t="array" ref="X108">IF($C108="","",IFERROR(IF(INDEX('05_Theo_Doi_Gio_Cong_7_Ngay'!$P:$P,MATCH($C108,'05_Theo_Doi_Gio_Cong_7_Ngay'!$B:$B,0))=0,"",INDEX('05_Theo_Doi_Gio_Cong_7_Ngay'!$P:$P,MATCH($C108,'05_Theo_Doi_Gio_Cong_7_Ngay'!$B:$B,0))),""))</f>
      </c>
      <c r="Y108" s="60">
        <f t="array" ref="Y108">IF($C108="","",IFERROR(IF(INDEX('05_Theo_Doi_Gio_Cong_7_Ngay'!$M:$M,MATCH($C108,'05_Theo_Doi_Gio_Cong_7_Ngay'!$B:$B,0))=0,"",INDEX('05_Theo_Doi_Gio_Cong_7_Ngay'!$M:$M,MATCH($C108,'05_Theo_Doi_Gio_Cong_7_Ngay'!$B:$B,0))),""))</f>
      </c>
      <c r="Z108" s="60">
        <f t="array" ref="Z108">IF($C108="","",IFERROR(IF(INDEX('05_Theo_Doi_Gio_Cong_7_Ngay'!$Q:$Q,MATCH($C108,'05_Theo_Doi_Gio_Cong_7_Ngay'!$B:$B,0))=0,"",INDEX('05_Theo_Doi_Gio_Cong_7_Ngay'!$Q:$Q,MATCH($C108,'05_Theo_Doi_Gio_Cong_7_Ngay'!$B:$B,0))),""))</f>
      </c>
      <c r="AA108" s="60">
        <f t="array" ref="AA108">IF($B108="","",IFERROR(IF(INDEX('02_DS_Nhan_Viec'!$H:$H,MATCH($B108,'02_DS_Nhan_Viec'!$B:$B,0))=0,"",INDEX('02_DS_Nhan_Viec'!$H:$H,MATCH($B108,'02_DS_Nhan_Viec'!$B:$B,0))),""))</f>
      </c>
      <c r="AB108" s="60">
        <f t="array" ref="AB108">IF($B108="","",IFERROR(IF(INDEX('02_DS_Nhan_Viec'!$I:$I,MATCH($B108,'02_DS_Nhan_Viec'!$B:$B,0))=0,"",INDEX('02_DS_Nhan_Viec'!$I:$I,MATCH($B108,'02_DS_Nhan_Viec'!$B:$B,0))),""))</f>
      </c>
      <c r="AC108" s="61">
        <f t="array" ref="AC108">IF($B108="","",IF($C108="","Đang theo dõi",IF(OR(IFERROR(INDEX('05_Theo_Doi_Gio_Cong_7_Ngay'!$R:$R,MATCH($C108,'05_Theo_Doi_Gio_Cong_7_Ngay'!$B:$B,0)),"")="",IFERROR(INDEX('05_Theo_Doi_Gio_Cong_7_Ngay'!$R:$R,MATCH($C108,'05_Theo_Doi_Gio_Cong_7_Ngay'!$B:$B,0)),0)=0),"Đang theo dõi",IFERROR(INDEX('06_DS_Chinh_Thuc'!$K:$K,MATCH(IFERROR(INDEX('05_Theo_Doi_Gio_Cong_7_Ngay'!$R:$R,MATCH($C108,'05_Theo_Doi_Gio_Cong_7_Ngay'!$B:$B,0)),0),'06_DS_Chinh_Thuc'!$B:$B,0)),"Đang theo dõi"))))</f>
      </c>
    </row>
    <row r="109" ht="14.25" customHeight="1" spans="1:29" x14ac:dyDescent="0.25">
      <c r="A109" s="52">
        <f t="shared" si="0"/>
      </c>
      <c r="B109" s="52">
        <f t="array" ref="B109">IFERROR(INDEX('02_DS_Nhan_Viec'!$B:$B,MATCH(108,'02_DS_Nhan_Viec'!$M:$M,0)),"")</f>
      </c>
      <c r="C109" s="52">
        <f t="array" ref="C109">IF($B109="","",IFERROR(IF(INDEX('02_DS_Nhan_Viec'!$J:$J,MATCH($B109,'02_DS_Nhan_Viec'!$B:$B,0))=0,"",INDEX('02_DS_Nhan_Viec'!$J:$J,MATCH($B109,'02_DS_Nhan_Viec'!$B:$B,0))),""))</f>
      </c>
      <c r="D109" s="52">
        <f t="array" ref="D109">IF($C109="","",IFERROR(IF(INDEX('05_Theo_Doi_Gio_Cong_7_Ngay'!$R:$R,MATCH($C109,'05_Theo_Doi_Gio_Cong_7_Ngay'!$B:$B,0))=0,"",INDEX('05_Theo_Doi_Gio_Cong_7_Ngay'!$R:$R,MATCH($C109,'05_Theo_Doi_Gio_Cong_7_Ngay'!$B:$B,0))),""))</f>
      </c>
      <c r="E109" s="60">
        <f t="array" ref="E109">IF($B109="","",IFERROR(IF(INDEX('01_UngVien_PhongVan'!$D:$D,MATCH($B109,'01_UngVien_PhongVan'!$B:$B,0))=0,"",INDEX('01_UngVien_PhongVan'!$D:$D,MATCH($B109,'01_UngVien_PhongVan'!$B:$B,0))),""))</f>
      </c>
      <c r="F109" s="52">
        <f t="array" ref="F109">IF($B109="","",IFERROR(IF(INDEX('01_UngVien_PhongVan'!$F:$F,MATCH($B109,'01_UngVien_PhongVan'!$B:$B,0))=0,"",INDEX('01_UngVien_PhongVan'!$F:$F,MATCH($B109,'01_UngVien_PhongVan'!$B:$B,0))),""))</f>
      </c>
      <c r="G109" s="72">
        <f t="array" ref="G109">IF($B109="","",IFERROR(IF(INDEX('01_UngVien_PhongVan'!$G:$G,MATCH($B109,'01_UngVien_PhongVan'!$B:$B,0))=0,"",INDEX('01_UngVien_PhongVan'!$G:$G,MATCH($B109,'01_UngVien_PhongVan'!$B:$B,0))),""))</f>
      </c>
      <c r="H109" s="52">
        <f t="array" ref="H109">IF($B109="","",IFERROR(IF(INDEX('01_UngVien_PhongVan'!$H:$H,MATCH($B109,'01_UngVien_PhongVan'!$B:$B,0))=0,"",INDEX('01_UngVien_PhongVan'!$H:$H,MATCH($B109,'01_UngVien_PhongVan'!$B:$B,0))),""))</f>
      </c>
      <c r="I109" s="60">
        <f t="array" ref="I109">IF($B109="","",IFERROR(IF(INDEX('01_UngVien_PhongVan'!$I:$I,MATCH($B109,'01_UngVien_PhongVan'!$B:$B,0))=0,"",INDEX('01_UngVien_PhongVan'!$I:$I,MATCH($B109,'01_UngVien_PhongVan'!$B:$B,0))),""))</f>
      </c>
      <c r="J109" s="60">
        <f t="array" ref="J109">IF($B109="","",IFERROR(IF(INDEX('01_UngVien_PhongVan'!$J:$J,MATCH($B109,'01_UngVien_PhongVan'!$B:$B,0))=0,"",INDEX('01_UngVien_PhongVan'!$J:$J,MATCH($B109,'01_UngVien_PhongVan'!$B:$B,0))),""))</f>
      </c>
      <c r="K109" s="73">
        <f t="array" ref="K109">IF($B109="","",IFERROR(IF(INDEX('01_UngVien_PhongVan'!$K:$K,MATCH($B109,'01_UngVien_PhongVan'!$B:$B,0))=0,"",INDEX('01_UngVien_PhongVan'!$K:$K,MATCH($B109,'01_UngVien_PhongVan'!$B:$B,0))),""))</f>
      </c>
      <c r="L109" s="60">
        <f t="array" ref="L109">IF($B109="","",IFERROR(IF(INDEX('01_UngVien_PhongVan'!$L:$L,MATCH($B109,'01_UngVien_PhongVan'!$B:$B,0))=0,"",INDEX('01_UngVien_PhongVan'!$L:$L,MATCH($B109,'01_UngVien_PhongVan'!$B:$B,0))),""))</f>
      </c>
      <c r="M109" s="60">
        <f t="array" ref="M109">IF($B109="","",IFERROR(IF(INDEX('01_UngVien_PhongVan'!$E:$E,MATCH($B109,'01_UngVien_PhongVan'!$B:$B,0))=0,"",INDEX('01_UngVien_PhongVan'!$E:$E,MATCH($B109,'01_UngVien_PhongVan'!$B:$B,0))),""))</f>
      </c>
      <c r="N109" s="60">
        <f t="array" ref="N109">IF($B109="","",IFERROR(IF(INDEX('01_UngVien_PhongVan'!$M:$M,MATCH($B109,'01_UngVien_PhongVan'!$B:$B,0))=0,"",INDEX('01_UngVien_PhongVan'!$M:$M,MATCH($B109,'01_UngVien_PhongVan'!$B:$B,0))),""))</f>
      </c>
      <c r="O109" s="60">
        <f t="array" ref="O109">IF($B109="","",IFERROR(IF(INDEX('01_UngVien_PhongVan'!$N:$N,MATCH($B109,'01_UngVien_PhongVan'!$B:$B,0))=0,"",INDEX('01_UngVien_PhongVan'!$N:$N,MATCH($B109,'01_UngVien_PhongVan'!$B:$B,0))),""))</f>
      </c>
      <c r="P109" s="60">
        <f t="array" ref="P109">IF($B109="","",IFERROR(IF(INDEX('01_UngVien_PhongVan'!$O:$O,MATCH($B109,'01_UngVien_PhongVan'!$B:$B,0))=0,"",INDEX('01_UngVien_PhongVan'!$O:$O,MATCH($B109,'01_UngVien_PhongVan'!$B:$B,0))),""))</f>
      </c>
      <c r="Q109" s="60">
        <f t="array" ref="Q109">IF($B109="","",IFERROR(IF(INDEX('01_UngVien_PhongVan'!$P:$P,MATCH($B109,'01_UngVien_PhongVan'!$B:$B,0))=0,"",INDEX('01_UngVien_PhongVan'!$P:$P,MATCH($B109,'01_UngVien_PhongVan'!$B:$B,0))),""))</f>
      </c>
      <c r="R109" s="60">
        <f t="array" ref="R109">IF($B109="","",IFERROR(IF(INDEX('01_UngVien_PhongVan'!$Q:$Q,MATCH($B109,'01_UngVien_PhongVan'!$B:$B,0))=0,"",INDEX('01_UngVien_PhongVan'!$Q:$Q,MATCH($B109,'01_UngVien_PhongVan'!$B:$B,0))),""))</f>
      </c>
      <c r="S109" s="60">
        <f t="array" ref="S109">IF($B109="","",IFERROR(IF(INDEX('01_UngVien_PhongVan'!$R:$R,MATCH($B109,'01_UngVien_PhongVan'!$B:$B,0))=0,"",INDEX('01_UngVien_PhongVan'!$R:$R,MATCH($B109,'01_UngVien_PhongVan'!$B:$B,0))),""))</f>
      </c>
      <c r="T109" s="60">
        <f t="array" ref="T109">IF($B109="","",IFERROR(IF(INDEX('01_UngVien_PhongVan'!$U:$U,MATCH($B109,'01_UngVien_PhongVan'!$B:$B,0))=0,"",INDEX('01_UngVien_PhongVan'!$U:$U,MATCH($B109,'01_UngVien_PhongVan'!$B:$B,0))),""))</f>
      </c>
      <c r="U109" s="73">
        <f t="array" ref="U109">IF($B109="","",IFERROR(IF(INDEX('01_UngVien_PhongVan'!$C:$C,MATCH($B109,'01_UngVien_PhongVan'!$B:$B,0))=0,"",INDEX('01_UngVien_PhongVan'!$C:$C,MATCH($B109,'01_UngVien_PhongVan'!$B:$B,0))),""))</f>
      </c>
      <c r="V109" s="73">
        <f t="array" ref="V109">IF($B109="","",IFERROR(IF(INDEX('02_DS_Nhan_Viec'!$D:$D,MATCH($B109,'02_DS_Nhan_Viec'!$B:$B,0))=0,"",INDEX('02_DS_Nhan_Viec'!$D:$D,MATCH($B109,'02_DS_Nhan_Viec'!$B:$B,0))),""))</f>
      </c>
      <c r="W109" s="73">
        <f t="array" ref="W109">IF($B109="","",IFERROR(IF(INDEX('02_DS_Nhan_Viec'!$E:$E,MATCH($B109,'02_DS_Nhan_Viec'!$B:$B,0))=0,"",INDEX('02_DS_Nhan_Viec'!$E:$E,MATCH($B109,'02_DS_Nhan_Viec'!$B:$B,0))),""))</f>
      </c>
      <c r="X109" s="73">
        <f t="array" ref="X109">IF($C109="","",IFERROR(IF(INDEX('05_Theo_Doi_Gio_Cong_7_Ngay'!$P:$P,MATCH($C109,'05_Theo_Doi_Gio_Cong_7_Ngay'!$B:$B,0))=0,"",INDEX('05_Theo_Doi_Gio_Cong_7_Ngay'!$P:$P,MATCH($C109,'05_Theo_Doi_Gio_Cong_7_Ngay'!$B:$B,0))),""))</f>
      </c>
      <c r="Y109" s="60">
        <f t="array" ref="Y109">IF($C109="","",IFERROR(IF(INDEX('05_Theo_Doi_Gio_Cong_7_Ngay'!$M:$M,MATCH($C109,'05_Theo_Doi_Gio_Cong_7_Ngay'!$B:$B,0))=0,"",INDEX('05_Theo_Doi_Gio_Cong_7_Ngay'!$M:$M,MATCH($C109,'05_Theo_Doi_Gio_Cong_7_Ngay'!$B:$B,0))),""))</f>
      </c>
      <c r="Z109" s="60">
        <f t="array" ref="Z109">IF($C109="","",IFERROR(IF(INDEX('05_Theo_Doi_Gio_Cong_7_Ngay'!$Q:$Q,MATCH($C109,'05_Theo_Doi_Gio_Cong_7_Ngay'!$B:$B,0))=0,"",INDEX('05_Theo_Doi_Gio_Cong_7_Ngay'!$Q:$Q,MATCH($C109,'05_Theo_Doi_Gio_Cong_7_Ngay'!$B:$B,0))),""))</f>
      </c>
      <c r="AA109" s="60">
        <f t="array" ref="AA109">IF($B109="","",IFERROR(IF(INDEX('02_DS_Nhan_Viec'!$H:$H,MATCH($B109,'02_DS_Nhan_Viec'!$B:$B,0))=0,"",INDEX('02_DS_Nhan_Viec'!$H:$H,MATCH($B109,'02_DS_Nhan_Viec'!$B:$B,0))),""))</f>
      </c>
      <c r="AB109" s="60">
        <f t="array" ref="AB109">IF($B109="","",IFERROR(IF(INDEX('02_DS_Nhan_Viec'!$I:$I,MATCH($B109,'02_DS_Nhan_Viec'!$B:$B,0))=0,"",INDEX('02_DS_Nhan_Viec'!$I:$I,MATCH($B109,'02_DS_Nhan_Viec'!$B:$B,0))),""))</f>
      </c>
      <c r="AC109" s="61">
        <f t="array" ref="AC109">IF($B109="","",IF($C109="","Đang theo dõi",IF(OR(IFERROR(INDEX('05_Theo_Doi_Gio_Cong_7_Ngay'!$R:$R,MATCH($C109,'05_Theo_Doi_Gio_Cong_7_Ngay'!$B:$B,0)),"")="",IFERROR(INDEX('05_Theo_Doi_Gio_Cong_7_Ngay'!$R:$R,MATCH($C109,'05_Theo_Doi_Gio_Cong_7_Ngay'!$B:$B,0)),0)=0),"Đang theo dõi",IFERROR(INDEX('06_DS_Chinh_Thuc'!$K:$K,MATCH(IFERROR(INDEX('05_Theo_Doi_Gio_Cong_7_Ngay'!$R:$R,MATCH($C109,'05_Theo_Doi_Gio_Cong_7_Ngay'!$B:$B,0)),0),'06_DS_Chinh_Thuc'!$B:$B,0)),"Đang theo dõi"))))</f>
      </c>
    </row>
    <row r="110" ht="14.25" customHeight="1" spans="1:29" x14ac:dyDescent="0.25">
      <c r="A110" s="52">
        <f t="shared" si="0"/>
      </c>
      <c r="B110" s="52">
        <f t="array" ref="B110">IFERROR(INDEX('02_DS_Nhan_Viec'!$B:$B,MATCH(109,'02_DS_Nhan_Viec'!$M:$M,0)),"")</f>
      </c>
      <c r="C110" s="52">
        <f t="array" ref="C110">IF($B110="","",IFERROR(IF(INDEX('02_DS_Nhan_Viec'!$J:$J,MATCH($B110,'02_DS_Nhan_Viec'!$B:$B,0))=0,"",INDEX('02_DS_Nhan_Viec'!$J:$J,MATCH($B110,'02_DS_Nhan_Viec'!$B:$B,0))),""))</f>
      </c>
      <c r="D110" s="52">
        <f t="array" ref="D110">IF($C110="","",IFERROR(IF(INDEX('05_Theo_Doi_Gio_Cong_7_Ngay'!$R:$R,MATCH($C110,'05_Theo_Doi_Gio_Cong_7_Ngay'!$B:$B,0))=0,"",INDEX('05_Theo_Doi_Gio_Cong_7_Ngay'!$R:$R,MATCH($C110,'05_Theo_Doi_Gio_Cong_7_Ngay'!$B:$B,0))),""))</f>
      </c>
      <c r="E110" s="60">
        <f t="array" ref="E110">IF($B110="","",IFERROR(IF(INDEX('01_UngVien_PhongVan'!$D:$D,MATCH($B110,'01_UngVien_PhongVan'!$B:$B,0))=0,"",INDEX('01_UngVien_PhongVan'!$D:$D,MATCH($B110,'01_UngVien_PhongVan'!$B:$B,0))),""))</f>
      </c>
      <c r="F110" s="52">
        <f t="array" ref="F110">IF($B110="","",IFERROR(IF(INDEX('01_UngVien_PhongVan'!$F:$F,MATCH($B110,'01_UngVien_PhongVan'!$B:$B,0))=0,"",INDEX('01_UngVien_PhongVan'!$F:$F,MATCH($B110,'01_UngVien_PhongVan'!$B:$B,0))),""))</f>
      </c>
      <c r="G110" s="72">
        <f t="array" ref="G110">IF($B110="","",IFERROR(IF(INDEX('01_UngVien_PhongVan'!$G:$G,MATCH($B110,'01_UngVien_PhongVan'!$B:$B,0))=0,"",INDEX('01_UngVien_PhongVan'!$G:$G,MATCH($B110,'01_UngVien_PhongVan'!$B:$B,0))),""))</f>
      </c>
      <c r="H110" s="52">
        <f t="array" ref="H110">IF($B110="","",IFERROR(IF(INDEX('01_UngVien_PhongVan'!$H:$H,MATCH($B110,'01_UngVien_PhongVan'!$B:$B,0))=0,"",INDEX('01_UngVien_PhongVan'!$H:$H,MATCH($B110,'01_UngVien_PhongVan'!$B:$B,0))),""))</f>
      </c>
      <c r="I110" s="60">
        <f t="array" ref="I110">IF($B110="","",IFERROR(IF(INDEX('01_UngVien_PhongVan'!$I:$I,MATCH($B110,'01_UngVien_PhongVan'!$B:$B,0))=0,"",INDEX('01_UngVien_PhongVan'!$I:$I,MATCH($B110,'01_UngVien_PhongVan'!$B:$B,0))),""))</f>
      </c>
      <c r="J110" s="60">
        <f t="array" ref="J110">IF($B110="","",IFERROR(IF(INDEX('01_UngVien_PhongVan'!$J:$J,MATCH($B110,'01_UngVien_PhongVan'!$B:$B,0))=0,"",INDEX('01_UngVien_PhongVan'!$J:$J,MATCH($B110,'01_UngVien_PhongVan'!$B:$B,0))),""))</f>
      </c>
      <c r="K110" s="73">
        <f t="array" ref="K110">IF($B110="","",IFERROR(IF(INDEX('01_UngVien_PhongVan'!$K:$K,MATCH($B110,'01_UngVien_PhongVan'!$B:$B,0))=0,"",INDEX('01_UngVien_PhongVan'!$K:$K,MATCH($B110,'01_UngVien_PhongVan'!$B:$B,0))),""))</f>
      </c>
      <c r="L110" s="60">
        <f t="array" ref="L110">IF($B110="","",IFERROR(IF(INDEX('01_UngVien_PhongVan'!$L:$L,MATCH($B110,'01_UngVien_PhongVan'!$B:$B,0))=0,"",INDEX('01_UngVien_PhongVan'!$L:$L,MATCH($B110,'01_UngVien_PhongVan'!$B:$B,0))),""))</f>
      </c>
      <c r="M110" s="60">
        <f t="array" ref="M110">IF($B110="","",IFERROR(IF(INDEX('01_UngVien_PhongVan'!$E:$E,MATCH($B110,'01_UngVien_PhongVan'!$B:$B,0))=0,"",INDEX('01_UngVien_PhongVan'!$E:$E,MATCH($B110,'01_UngVien_PhongVan'!$B:$B,0))),""))</f>
      </c>
      <c r="N110" s="60">
        <f t="array" ref="N110">IF($B110="","",IFERROR(IF(INDEX('01_UngVien_PhongVan'!$M:$M,MATCH($B110,'01_UngVien_PhongVan'!$B:$B,0))=0,"",INDEX('01_UngVien_PhongVan'!$M:$M,MATCH($B110,'01_UngVien_PhongVan'!$B:$B,0))),""))</f>
      </c>
      <c r="O110" s="60">
        <f t="array" ref="O110">IF($B110="","",IFERROR(IF(INDEX('01_UngVien_PhongVan'!$N:$N,MATCH($B110,'01_UngVien_PhongVan'!$B:$B,0))=0,"",INDEX('01_UngVien_PhongVan'!$N:$N,MATCH($B110,'01_UngVien_PhongVan'!$B:$B,0))),""))</f>
      </c>
      <c r="P110" s="60">
        <f t="array" ref="P110">IF($B110="","",IFERROR(IF(INDEX('01_UngVien_PhongVan'!$O:$O,MATCH($B110,'01_UngVien_PhongVan'!$B:$B,0))=0,"",INDEX('01_UngVien_PhongVan'!$O:$O,MATCH($B110,'01_UngVien_PhongVan'!$B:$B,0))),""))</f>
      </c>
      <c r="Q110" s="60">
        <f t="array" ref="Q110">IF($B110="","",IFERROR(IF(INDEX('01_UngVien_PhongVan'!$P:$P,MATCH($B110,'01_UngVien_PhongVan'!$B:$B,0))=0,"",INDEX('01_UngVien_PhongVan'!$P:$P,MATCH($B110,'01_UngVien_PhongVan'!$B:$B,0))),""))</f>
      </c>
      <c r="R110" s="60">
        <f t="array" ref="R110">IF($B110="","",IFERROR(IF(INDEX('01_UngVien_PhongVan'!$Q:$Q,MATCH($B110,'01_UngVien_PhongVan'!$B:$B,0))=0,"",INDEX('01_UngVien_PhongVan'!$Q:$Q,MATCH($B110,'01_UngVien_PhongVan'!$B:$B,0))),""))</f>
      </c>
      <c r="S110" s="60">
        <f t="array" ref="S110">IF($B110="","",IFERROR(IF(INDEX('01_UngVien_PhongVan'!$R:$R,MATCH($B110,'01_UngVien_PhongVan'!$B:$B,0))=0,"",INDEX('01_UngVien_PhongVan'!$R:$R,MATCH($B110,'01_UngVien_PhongVan'!$B:$B,0))),""))</f>
      </c>
      <c r="T110" s="60">
        <f t="array" ref="T110">IF($B110="","",IFERROR(IF(INDEX('01_UngVien_PhongVan'!$U:$U,MATCH($B110,'01_UngVien_PhongVan'!$B:$B,0))=0,"",INDEX('01_UngVien_PhongVan'!$U:$U,MATCH($B110,'01_UngVien_PhongVan'!$B:$B,0))),""))</f>
      </c>
      <c r="U110" s="73">
        <f t="array" ref="U110">IF($B110="","",IFERROR(IF(INDEX('01_UngVien_PhongVan'!$C:$C,MATCH($B110,'01_UngVien_PhongVan'!$B:$B,0))=0,"",INDEX('01_UngVien_PhongVan'!$C:$C,MATCH($B110,'01_UngVien_PhongVan'!$B:$B,0))),""))</f>
      </c>
      <c r="V110" s="73">
        <f t="array" ref="V110">IF($B110="","",IFERROR(IF(INDEX('02_DS_Nhan_Viec'!$D:$D,MATCH($B110,'02_DS_Nhan_Viec'!$B:$B,0))=0,"",INDEX('02_DS_Nhan_Viec'!$D:$D,MATCH($B110,'02_DS_Nhan_Viec'!$B:$B,0))),""))</f>
      </c>
      <c r="W110" s="73">
        <f t="array" ref="W110">IF($B110="","",IFERROR(IF(INDEX('02_DS_Nhan_Viec'!$E:$E,MATCH($B110,'02_DS_Nhan_Viec'!$B:$B,0))=0,"",INDEX('02_DS_Nhan_Viec'!$E:$E,MATCH($B110,'02_DS_Nhan_Viec'!$B:$B,0))),""))</f>
      </c>
      <c r="X110" s="73">
        <f t="array" ref="X110">IF($C110="","",IFERROR(IF(INDEX('05_Theo_Doi_Gio_Cong_7_Ngay'!$P:$P,MATCH($C110,'05_Theo_Doi_Gio_Cong_7_Ngay'!$B:$B,0))=0,"",INDEX('05_Theo_Doi_Gio_Cong_7_Ngay'!$P:$P,MATCH($C110,'05_Theo_Doi_Gio_Cong_7_Ngay'!$B:$B,0))),""))</f>
      </c>
      <c r="Y110" s="60">
        <f t="array" ref="Y110">IF($C110="","",IFERROR(IF(INDEX('05_Theo_Doi_Gio_Cong_7_Ngay'!$M:$M,MATCH($C110,'05_Theo_Doi_Gio_Cong_7_Ngay'!$B:$B,0))=0,"",INDEX('05_Theo_Doi_Gio_Cong_7_Ngay'!$M:$M,MATCH($C110,'05_Theo_Doi_Gio_Cong_7_Ngay'!$B:$B,0))),""))</f>
      </c>
      <c r="Z110" s="60">
        <f t="array" ref="Z110">IF($C110="","",IFERROR(IF(INDEX('05_Theo_Doi_Gio_Cong_7_Ngay'!$Q:$Q,MATCH($C110,'05_Theo_Doi_Gio_Cong_7_Ngay'!$B:$B,0))=0,"",INDEX('05_Theo_Doi_Gio_Cong_7_Ngay'!$Q:$Q,MATCH($C110,'05_Theo_Doi_Gio_Cong_7_Ngay'!$B:$B,0))),""))</f>
      </c>
      <c r="AA110" s="60">
        <f t="array" ref="AA110">IF($B110="","",IFERROR(IF(INDEX('02_DS_Nhan_Viec'!$H:$H,MATCH($B110,'02_DS_Nhan_Viec'!$B:$B,0))=0,"",INDEX('02_DS_Nhan_Viec'!$H:$H,MATCH($B110,'02_DS_Nhan_Viec'!$B:$B,0))),""))</f>
      </c>
      <c r="AB110" s="60">
        <f t="array" ref="AB110">IF($B110="","",IFERROR(IF(INDEX('02_DS_Nhan_Viec'!$I:$I,MATCH($B110,'02_DS_Nhan_Viec'!$B:$B,0))=0,"",INDEX('02_DS_Nhan_Viec'!$I:$I,MATCH($B110,'02_DS_Nhan_Viec'!$B:$B,0))),""))</f>
      </c>
      <c r="AC110" s="61">
        <f t="array" ref="AC110">IF($B110="","",IF($C110="","Đang theo dõi",IF(OR(IFERROR(INDEX('05_Theo_Doi_Gio_Cong_7_Ngay'!$R:$R,MATCH($C110,'05_Theo_Doi_Gio_Cong_7_Ngay'!$B:$B,0)),"")="",IFERROR(INDEX('05_Theo_Doi_Gio_Cong_7_Ngay'!$R:$R,MATCH($C110,'05_Theo_Doi_Gio_Cong_7_Ngay'!$B:$B,0)),0)=0),"Đang theo dõi",IFERROR(INDEX('06_DS_Chinh_Thuc'!$K:$K,MATCH(IFERROR(INDEX('05_Theo_Doi_Gio_Cong_7_Ngay'!$R:$R,MATCH($C110,'05_Theo_Doi_Gio_Cong_7_Ngay'!$B:$B,0)),0),'06_DS_Chinh_Thuc'!$B:$B,0)),"Đang theo dõi"))))</f>
      </c>
    </row>
    <row r="111" ht="14.25" customHeight="1" spans="1:29" x14ac:dyDescent="0.25">
      <c r="A111" s="52">
        <f t="shared" si="0"/>
      </c>
      <c r="B111" s="52">
        <f t="array" ref="B111">IFERROR(INDEX('02_DS_Nhan_Viec'!$B:$B,MATCH(110,'02_DS_Nhan_Viec'!$M:$M,0)),"")</f>
      </c>
      <c r="C111" s="52">
        <f t="array" ref="C111">IF($B111="","",IFERROR(IF(INDEX('02_DS_Nhan_Viec'!$J:$J,MATCH($B111,'02_DS_Nhan_Viec'!$B:$B,0))=0,"",INDEX('02_DS_Nhan_Viec'!$J:$J,MATCH($B111,'02_DS_Nhan_Viec'!$B:$B,0))),""))</f>
      </c>
      <c r="D111" s="52">
        <f t="array" ref="D111">IF($C111="","",IFERROR(IF(INDEX('05_Theo_Doi_Gio_Cong_7_Ngay'!$R:$R,MATCH($C111,'05_Theo_Doi_Gio_Cong_7_Ngay'!$B:$B,0))=0,"",INDEX('05_Theo_Doi_Gio_Cong_7_Ngay'!$R:$R,MATCH($C111,'05_Theo_Doi_Gio_Cong_7_Ngay'!$B:$B,0))),""))</f>
      </c>
      <c r="E111" s="60">
        <f t="array" ref="E111">IF($B111="","",IFERROR(IF(INDEX('01_UngVien_PhongVan'!$D:$D,MATCH($B111,'01_UngVien_PhongVan'!$B:$B,0))=0,"",INDEX('01_UngVien_PhongVan'!$D:$D,MATCH($B111,'01_UngVien_PhongVan'!$B:$B,0))),""))</f>
      </c>
      <c r="F111" s="52">
        <f t="array" ref="F111">IF($B111="","",IFERROR(IF(INDEX('01_UngVien_PhongVan'!$F:$F,MATCH($B111,'01_UngVien_PhongVan'!$B:$B,0))=0,"",INDEX('01_UngVien_PhongVan'!$F:$F,MATCH($B111,'01_UngVien_PhongVan'!$B:$B,0))),""))</f>
      </c>
      <c r="G111" s="72">
        <f t="array" ref="G111">IF($B111="","",IFERROR(IF(INDEX('01_UngVien_PhongVan'!$G:$G,MATCH($B111,'01_UngVien_PhongVan'!$B:$B,0))=0,"",INDEX('01_UngVien_PhongVan'!$G:$G,MATCH($B111,'01_UngVien_PhongVan'!$B:$B,0))),""))</f>
      </c>
      <c r="H111" s="52">
        <f t="array" ref="H111">IF($B111="","",IFERROR(IF(INDEX('01_UngVien_PhongVan'!$H:$H,MATCH($B111,'01_UngVien_PhongVan'!$B:$B,0))=0,"",INDEX('01_UngVien_PhongVan'!$H:$H,MATCH($B111,'01_UngVien_PhongVan'!$B:$B,0))),""))</f>
      </c>
      <c r="I111" s="60">
        <f t="array" ref="I111">IF($B111="","",IFERROR(IF(INDEX('01_UngVien_PhongVan'!$I:$I,MATCH($B111,'01_UngVien_PhongVan'!$B:$B,0))=0,"",INDEX('01_UngVien_PhongVan'!$I:$I,MATCH($B111,'01_UngVien_PhongVan'!$B:$B,0))),""))</f>
      </c>
      <c r="J111" s="60">
        <f t="array" ref="J111">IF($B111="","",IFERROR(IF(INDEX('01_UngVien_PhongVan'!$J:$J,MATCH($B111,'01_UngVien_PhongVan'!$B:$B,0))=0,"",INDEX('01_UngVien_PhongVan'!$J:$J,MATCH($B111,'01_UngVien_PhongVan'!$B:$B,0))),""))</f>
      </c>
      <c r="K111" s="73">
        <f t="array" ref="K111">IF($B111="","",IFERROR(IF(INDEX('01_UngVien_PhongVan'!$K:$K,MATCH($B111,'01_UngVien_PhongVan'!$B:$B,0))=0,"",INDEX('01_UngVien_PhongVan'!$K:$K,MATCH($B111,'01_UngVien_PhongVan'!$B:$B,0))),""))</f>
      </c>
      <c r="L111" s="60">
        <f t="array" ref="L111">IF($B111="","",IFERROR(IF(INDEX('01_UngVien_PhongVan'!$L:$L,MATCH($B111,'01_UngVien_PhongVan'!$B:$B,0))=0,"",INDEX('01_UngVien_PhongVan'!$L:$L,MATCH($B111,'01_UngVien_PhongVan'!$B:$B,0))),""))</f>
      </c>
      <c r="M111" s="60">
        <f t="array" ref="M111">IF($B111="","",IFERROR(IF(INDEX('01_UngVien_PhongVan'!$E:$E,MATCH($B111,'01_UngVien_PhongVan'!$B:$B,0))=0,"",INDEX('01_UngVien_PhongVan'!$E:$E,MATCH($B111,'01_UngVien_PhongVan'!$B:$B,0))),""))</f>
      </c>
      <c r="N111" s="60">
        <f t="array" ref="N111">IF($B111="","",IFERROR(IF(INDEX('01_UngVien_PhongVan'!$M:$M,MATCH($B111,'01_UngVien_PhongVan'!$B:$B,0))=0,"",INDEX('01_UngVien_PhongVan'!$M:$M,MATCH($B111,'01_UngVien_PhongVan'!$B:$B,0))),""))</f>
      </c>
      <c r="O111" s="60">
        <f t="array" ref="O111">IF($B111="","",IFERROR(IF(INDEX('01_UngVien_PhongVan'!$N:$N,MATCH($B111,'01_UngVien_PhongVan'!$B:$B,0))=0,"",INDEX('01_UngVien_PhongVan'!$N:$N,MATCH($B111,'01_UngVien_PhongVan'!$B:$B,0))),""))</f>
      </c>
      <c r="P111" s="60">
        <f t="array" ref="P111">IF($B111="","",IFERROR(IF(INDEX('01_UngVien_PhongVan'!$O:$O,MATCH($B111,'01_UngVien_PhongVan'!$B:$B,0))=0,"",INDEX('01_UngVien_PhongVan'!$O:$O,MATCH($B111,'01_UngVien_PhongVan'!$B:$B,0))),""))</f>
      </c>
      <c r="Q111" s="60">
        <f t="array" ref="Q111">IF($B111="","",IFERROR(IF(INDEX('01_UngVien_PhongVan'!$P:$P,MATCH($B111,'01_UngVien_PhongVan'!$B:$B,0))=0,"",INDEX('01_UngVien_PhongVan'!$P:$P,MATCH($B111,'01_UngVien_PhongVan'!$B:$B,0))),""))</f>
      </c>
      <c r="R111" s="60">
        <f t="array" ref="R111">IF($B111="","",IFERROR(IF(INDEX('01_UngVien_PhongVan'!$Q:$Q,MATCH($B111,'01_UngVien_PhongVan'!$B:$B,0))=0,"",INDEX('01_UngVien_PhongVan'!$Q:$Q,MATCH($B111,'01_UngVien_PhongVan'!$B:$B,0))),""))</f>
      </c>
      <c r="S111" s="60">
        <f t="array" ref="S111">IF($B111="","",IFERROR(IF(INDEX('01_UngVien_PhongVan'!$R:$R,MATCH($B111,'01_UngVien_PhongVan'!$B:$B,0))=0,"",INDEX('01_UngVien_PhongVan'!$R:$R,MATCH($B111,'01_UngVien_PhongVan'!$B:$B,0))),""))</f>
      </c>
      <c r="T111" s="60">
        <f t="array" ref="T111">IF($B111="","",IFERROR(IF(INDEX('01_UngVien_PhongVan'!$U:$U,MATCH($B111,'01_UngVien_PhongVan'!$B:$B,0))=0,"",INDEX('01_UngVien_PhongVan'!$U:$U,MATCH($B111,'01_UngVien_PhongVan'!$B:$B,0))),""))</f>
      </c>
      <c r="U111" s="73">
        <f t="array" ref="U111">IF($B111="","",IFERROR(IF(INDEX('01_UngVien_PhongVan'!$C:$C,MATCH($B111,'01_UngVien_PhongVan'!$B:$B,0))=0,"",INDEX('01_UngVien_PhongVan'!$C:$C,MATCH($B111,'01_UngVien_PhongVan'!$B:$B,0))),""))</f>
      </c>
      <c r="V111" s="73">
        <f t="array" ref="V111">IF($B111="","",IFERROR(IF(INDEX('02_DS_Nhan_Viec'!$D:$D,MATCH($B111,'02_DS_Nhan_Viec'!$B:$B,0))=0,"",INDEX('02_DS_Nhan_Viec'!$D:$D,MATCH($B111,'02_DS_Nhan_Viec'!$B:$B,0))),""))</f>
      </c>
      <c r="W111" s="73">
        <f t="array" ref="W111">IF($B111="","",IFERROR(IF(INDEX('02_DS_Nhan_Viec'!$E:$E,MATCH($B111,'02_DS_Nhan_Viec'!$B:$B,0))=0,"",INDEX('02_DS_Nhan_Viec'!$E:$E,MATCH($B111,'02_DS_Nhan_Viec'!$B:$B,0))),""))</f>
      </c>
      <c r="X111" s="73">
        <f t="array" ref="X111">IF($C111="","",IFERROR(IF(INDEX('05_Theo_Doi_Gio_Cong_7_Ngay'!$P:$P,MATCH($C111,'05_Theo_Doi_Gio_Cong_7_Ngay'!$B:$B,0))=0,"",INDEX('05_Theo_Doi_Gio_Cong_7_Ngay'!$P:$P,MATCH($C111,'05_Theo_Doi_Gio_Cong_7_Ngay'!$B:$B,0))),""))</f>
      </c>
      <c r="Y111" s="60">
        <f t="array" ref="Y111">IF($C111="","",IFERROR(IF(INDEX('05_Theo_Doi_Gio_Cong_7_Ngay'!$M:$M,MATCH($C111,'05_Theo_Doi_Gio_Cong_7_Ngay'!$B:$B,0))=0,"",INDEX('05_Theo_Doi_Gio_Cong_7_Ngay'!$M:$M,MATCH($C111,'05_Theo_Doi_Gio_Cong_7_Ngay'!$B:$B,0))),""))</f>
      </c>
      <c r="Z111" s="60">
        <f t="array" ref="Z111">IF($C111="","",IFERROR(IF(INDEX('05_Theo_Doi_Gio_Cong_7_Ngay'!$Q:$Q,MATCH($C111,'05_Theo_Doi_Gio_Cong_7_Ngay'!$B:$B,0))=0,"",INDEX('05_Theo_Doi_Gio_Cong_7_Ngay'!$Q:$Q,MATCH($C111,'05_Theo_Doi_Gio_Cong_7_Ngay'!$B:$B,0))),""))</f>
      </c>
      <c r="AA111" s="60">
        <f t="array" ref="AA111">IF($B111="","",IFERROR(IF(INDEX('02_DS_Nhan_Viec'!$H:$H,MATCH($B111,'02_DS_Nhan_Viec'!$B:$B,0))=0,"",INDEX('02_DS_Nhan_Viec'!$H:$H,MATCH($B111,'02_DS_Nhan_Viec'!$B:$B,0))),""))</f>
      </c>
      <c r="AB111" s="60">
        <f t="array" ref="AB111">IF($B111="","",IFERROR(IF(INDEX('02_DS_Nhan_Viec'!$I:$I,MATCH($B111,'02_DS_Nhan_Viec'!$B:$B,0))=0,"",INDEX('02_DS_Nhan_Viec'!$I:$I,MATCH($B111,'02_DS_Nhan_Viec'!$B:$B,0))),""))</f>
      </c>
      <c r="AC111" s="61">
        <f t="array" ref="AC111">IF($B111="","",IF($C111="","Đang theo dõi",IF(OR(IFERROR(INDEX('05_Theo_Doi_Gio_Cong_7_Ngay'!$R:$R,MATCH($C111,'05_Theo_Doi_Gio_Cong_7_Ngay'!$B:$B,0)),"")="",IFERROR(INDEX('05_Theo_Doi_Gio_Cong_7_Ngay'!$R:$R,MATCH($C111,'05_Theo_Doi_Gio_Cong_7_Ngay'!$B:$B,0)),0)=0),"Đang theo dõi",IFERROR(INDEX('06_DS_Chinh_Thuc'!$K:$K,MATCH(IFERROR(INDEX('05_Theo_Doi_Gio_Cong_7_Ngay'!$R:$R,MATCH($C111,'05_Theo_Doi_Gio_Cong_7_Ngay'!$B:$B,0)),0),'06_DS_Chinh_Thuc'!$B:$B,0)),"Đang theo dõi"))))</f>
      </c>
    </row>
    <row r="112" ht="14.25" customHeight="1" spans="1:29" x14ac:dyDescent="0.25">
      <c r="A112" s="52">
        <f t="shared" si="0"/>
      </c>
      <c r="B112" s="52">
        <f t="array" ref="B112">IFERROR(INDEX('02_DS_Nhan_Viec'!$B:$B,MATCH(111,'02_DS_Nhan_Viec'!$M:$M,0)),"")</f>
      </c>
      <c r="C112" s="52">
        <f t="array" ref="C112">IF($B112="","",IFERROR(IF(INDEX('02_DS_Nhan_Viec'!$J:$J,MATCH($B112,'02_DS_Nhan_Viec'!$B:$B,0))=0,"",INDEX('02_DS_Nhan_Viec'!$J:$J,MATCH($B112,'02_DS_Nhan_Viec'!$B:$B,0))),""))</f>
      </c>
      <c r="D112" s="52">
        <f t="array" ref="D112">IF($C112="","",IFERROR(IF(INDEX('05_Theo_Doi_Gio_Cong_7_Ngay'!$R:$R,MATCH($C112,'05_Theo_Doi_Gio_Cong_7_Ngay'!$B:$B,0))=0,"",INDEX('05_Theo_Doi_Gio_Cong_7_Ngay'!$R:$R,MATCH($C112,'05_Theo_Doi_Gio_Cong_7_Ngay'!$B:$B,0))),""))</f>
      </c>
      <c r="E112" s="60">
        <f t="array" ref="E112">IF($B112="","",IFERROR(IF(INDEX('01_UngVien_PhongVan'!$D:$D,MATCH($B112,'01_UngVien_PhongVan'!$B:$B,0))=0,"",INDEX('01_UngVien_PhongVan'!$D:$D,MATCH($B112,'01_UngVien_PhongVan'!$B:$B,0))),""))</f>
      </c>
      <c r="F112" s="52">
        <f t="array" ref="F112">IF($B112="","",IFERROR(IF(INDEX('01_UngVien_PhongVan'!$F:$F,MATCH($B112,'01_UngVien_PhongVan'!$B:$B,0))=0,"",INDEX('01_UngVien_PhongVan'!$F:$F,MATCH($B112,'01_UngVien_PhongVan'!$B:$B,0))),""))</f>
      </c>
      <c r="G112" s="72">
        <f t="array" ref="G112">IF($B112="","",IFERROR(IF(INDEX('01_UngVien_PhongVan'!$G:$G,MATCH($B112,'01_UngVien_PhongVan'!$B:$B,0))=0,"",INDEX('01_UngVien_PhongVan'!$G:$G,MATCH($B112,'01_UngVien_PhongVan'!$B:$B,0))),""))</f>
      </c>
      <c r="H112" s="52">
        <f t="array" ref="H112">IF($B112="","",IFERROR(IF(INDEX('01_UngVien_PhongVan'!$H:$H,MATCH($B112,'01_UngVien_PhongVan'!$B:$B,0))=0,"",INDEX('01_UngVien_PhongVan'!$H:$H,MATCH($B112,'01_UngVien_PhongVan'!$B:$B,0))),""))</f>
      </c>
      <c r="I112" s="60">
        <f t="array" ref="I112">IF($B112="","",IFERROR(IF(INDEX('01_UngVien_PhongVan'!$I:$I,MATCH($B112,'01_UngVien_PhongVan'!$B:$B,0))=0,"",INDEX('01_UngVien_PhongVan'!$I:$I,MATCH($B112,'01_UngVien_PhongVan'!$B:$B,0))),""))</f>
      </c>
      <c r="J112" s="60">
        <f t="array" ref="J112">IF($B112="","",IFERROR(IF(INDEX('01_UngVien_PhongVan'!$J:$J,MATCH($B112,'01_UngVien_PhongVan'!$B:$B,0))=0,"",INDEX('01_UngVien_PhongVan'!$J:$J,MATCH($B112,'01_UngVien_PhongVan'!$B:$B,0))),""))</f>
      </c>
      <c r="K112" s="73">
        <f t="array" ref="K112">IF($B112="","",IFERROR(IF(INDEX('01_UngVien_PhongVan'!$K:$K,MATCH($B112,'01_UngVien_PhongVan'!$B:$B,0))=0,"",INDEX('01_UngVien_PhongVan'!$K:$K,MATCH($B112,'01_UngVien_PhongVan'!$B:$B,0))),""))</f>
      </c>
      <c r="L112" s="60">
        <f t="array" ref="L112">IF($B112="","",IFERROR(IF(INDEX('01_UngVien_PhongVan'!$L:$L,MATCH($B112,'01_UngVien_PhongVan'!$B:$B,0))=0,"",INDEX('01_UngVien_PhongVan'!$L:$L,MATCH($B112,'01_UngVien_PhongVan'!$B:$B,0))),""))</f>
      </c>
      <c r="M112" s="60">
        <f t="array" ref="M112">IF($B112="","",IFERROR(IF(INDEX('01_UngVien_PhongVan'!$E:$E,MATCH($B112,'01_UngVien_PhongVan'!$B:$B,0))=0,"",INDEX('01_UngVien_PhongVan'!$E:$E,MATCH($B112,'01_UngVien_PhongVan'!$B:$B,0))),""))</f>
      </c>
      <c r="N112" s="60">
        <f t="array" ref="N112">IF($B112="","",IFERROR(IF(INDEX('01_UngVien_PhongVan'!$M:$M,MATCH($B112,'01_UngVien_PhongVan'!$B:$B,0))=0,"",INDEX('01_UngVien_PhongVan'!$M:$M,MATCH($B112,'01_UngVien_PhongVan'!$B:$B,0))),""))</f>
      </c>
      <c r="O112" s="60">
        <f t="array" ref="O112">IF($B112="","",IFERROR(IF(INDEX('01_UngVien_PhongVan'!$N:$N,MATCH($B112,'01_UngVien_PhongVan'!$B:$B,0))=0,"",INDEX('01_UngVien_PhongVan'!$N:$N,MATCH($B112,'01_UngVien_PhongVan'!$B:$B,0))),""))</f>
      </c>
      <c r="P112" s="60">
        <f t="array" ref="P112">IF($B112="","",IFERROR(IF(INDEX('01_UngVien_PhongVan'!$O:$O,MATCH($B112,'01_UngVien_PhongVan'!$B:$B,0))=0,"",INDEX('01_UngVien_PhongVan'!$O:$O,MATCH($B112,'01_UngVien_PhongVan'!$B:$B,0))),""))</f>
      </c>
      <c r="Q112" s="60">
        <f t="array" ref="Q112">IF($B112="","",IFERROR(IF(INDEX('01_UngVien_PhongVan'!$P:$P,MATCH($B112,'01_UngVien_PhongVan'!$B:$B,0))=0,"",INDEX('01_UngVien_PhongVan'!$P:$P,MATCH($B112,'01_UngVien_PhongVan'!$B:$B,0))),""))</f>
      </c>
      <c r="R112" s="60">
        <f t="array" ref="R112">IF($B112="","",IFERROR(IF(INDEX('01_UngVien_PhongVan'!$Q:$Q,MATCH($B112,'01_UngVien_PhongVan'!$B:$B,0))=0,"",INDEX('01_UngVien_PhongVan'!$Q:$Q,MATCH($B112,'01_UngVien_PhongVan'!$B:$B,0))),""))</f>
      </c>
      <c r="S112" s="60">
        <f t="array" ref="S112">IF($B112="","",IFERROR(IF(INDEX('01_UngVien_PhongVan'!$R:$R,MATCH($B112,'01_UngVien_PhongVan'!$B:$B,0))=0,"",INDEX('01_UngVien_PhongVan'!$R:$R,MATCH($B112,'01_UngVien_PhongVan'!$B:$B,0))),""))</f>
      </c>
      <c r="T112" s="60">
        <f t="array" ref="T112">IF($B112="","",IFERROR(IF(INDEX('01_UngVien_PhongVan'!$U:$U,MATCH($B112,'01_UngVien_PhongVan'!$B:$B,0))=0,"",INDEX('01_UngVien_PhongVan'!$U:$U,MATCH($B112,'01_UngVien_PhongVan'!$B:$B,0))),""))</f>
      </c>
      <c r="U112" s="73">
        <f t="array" ref="U112">IF($B112="","",IFERROR(IF(INDEX('01_UngVien_PhongVan'!$C:$C,MATCH($B112,'01_UngVien_PhongVan'!$B:$B,0))=0,"",INDEX('01_UngVien_PhongVan'!$C:$C,MATCH($B112,'01_UngVien_PhongVan'!$B:$B,0))),""))</f>
      </c>
      <c r="V112" s="73">
        <f t="array" ref="V112">IF($B112="","",IFERROR(IF(INDEX('02_DS_Nhan_Viec'!$D:$D,MATCH($B112,'02_DS_Nhan_Viec'!$B:$B,0))=0,"",INDEX('02_DS_Nhan_Viec'!$D:$D,MATCH($B112,'02_DS_Nhan_Viec'!$B:$B,0))),""))</f>
      </c>
      <c r="W112" s="73">
        <f t="array" ref="W112">IF($B112="","",IFERROR(IF(INDEX('02_DS_Nhan_Viec'!$E:$E,MATCH($B112,'02_DS_Nhan_Viec'!$B:$B,0))=0,"",INDEX('02_DS_Nhan_Viec'!$E:$E,MATCH($B112,'02_DS_Nhan_Viec'!$B:$B,0))),""))</f>
      </c>
      <c r="X112" s="73">
        <f t="array" ref="X112">IF($C112="","",IFERROR(IF(INDEX('05_Theo_Doi_Gio_Cong_7_Ngay'!$P:$P,MATCH($C112,'05_Theo_Doi_Gio_Cong_7_Ngay'!$B:$B,0))=0,"",INDEX('05_Theo_Doi_Gio_Cong_7_Ngay'!$P:$P,MATCH($C112,'05_Theo_Doi_Gio_Cong_7_Ngay'!$B:$B,0))),""))</f>
      </c>
      <c r="Y112" s="60">
        <f t="array" ref="Y112">IF($C112="","",IFERROR(IF(INDEX('05_Theo_Doi_Gio_Cong_7_Ngay'!$M:$M,MATCH($C112,'05_Theo_Doi_Gio_Cong_7_Ngay'!$B:$B,0))=0,"",INDEX('05_Theo_Doi_Gio_Cong_7_Ngay'!$M:$M,MATCH($C112,'05_Theo_Doi_Gio_Cong_7_Ngay'!$B:$B,0))),""))</f>
      </c>
      <c r="Z112" s="60">
        <f t="array" ref="Z112">IF($C112="","",IFERROR(IF(INDEX('05_Theo_Doi_Gio_Cong_7_Ngay'!$Q:$Q,MATCH($C112,'05_Theo_Doi_Gio_Cong_7_Ngay'!$B:$B,0))=0,"",INDEX('05_Theo_Doi_Gio_Cong_7_Ngay'!$Q:$Q,MATCH($C112,'05_Theo_Doi_Gio_Cong_7_Ngay'!$B:$B,0))),""))</f>
      </c>
      <c r="AA112" s="60">
        <f t="array" ref="AA112">IF($B112="","",IFERROR(IF(INDEX('02_DS_Nhan_Viec'!$H:$H,MATCH($B112,'02_DS_Nhan_Viec'!$B:$B,0))=0,"",INDEX('02_DS_Nhan_Viec'!$H:$H,MATCH($B112,'02_DS_Nhan_Viec'!$B:$B,0))),""))</f>
      </c>
      <c r="AB112" s="60">
        <f t="array" ref="AB112">IF($B112="","",IFERROR(IF(INDEX('02_DS_Nhan_Viec'!$I:$I,MATCH($B112,'02_DS_Nhan_Viec'!$B:$B,0))=0,"",INDEX('02_DS_Nhan_Viec'!$I:$I,MATCH($B112,'02_DS_Nhan_Viec'!$B:$B,0))),""))</f>
      </c>
      <c r="AC112" s="61">
        <f t="array" ref="AC112">IF($B112="","",IF($C112="","Đang theo dõi",IF(OR(IFERROR(INDEX('05_Theo_Doi_Gio_Cong_7_Ngay'!$R:$R,MATCH($C112,'05_Theo_Doi_Gio_Cong_7_Ngay'!$B:$B,0)),"")="",IFERROR(INDEX('05_Theo_Doi_Gio_Cong_7_Ngay'!$R:$R,MATCH($C112,'05_Theo_Doi_Gio_Cong_7_Ngay'!$B:$B,0)),0)=0),"Đang theo dõi",IFERROR(INDEX('06_DS_Chinh_Thuc'!$K:$K,MATCH(IFERROR(INDEX('05_Theo_Doi_Gio_Cong_7_Ngay'!$R:$R,MATCH($C112,'05_Theo_Doi_Gio_Cong_7_Ngay'!$B:$B,0)),0),'06_DS_Chinh_Thuc'!$B:$B,0)),"Đang theo dõi"))))</f>
      </c>
    </row>
    <row r="113" ht="14.25" customHeight="1" spans="1:29" x14ac:dyDescent="0.25">
      <c r="A113" s="52">
        <f t="shared" si="0"/>
      </c>
      <c r="B113" s="52">
        <f t="array" ref="B113">IFERROR(INDEX('02_DS_Nhan_Viec'!$B:$B,MATCH(112,'02_DS_Nhan_Viec'!$M:$M,0)),"")</f>
      </c>
      <c r="C113" s="52">
        <f t="array" ref="C113">IF($B113="","",IFERROR(IF(INDEX('02_DS_Nhan_Viec'!$J:$J,MATCH($B113,'02_DS_Nhan_Viec'!$B:$B,0))=0,"",INDEX('02_DS_Nhan_Viec'!$J:$J,MATCH($B113,'02_DS_Nhan_Viec'!$B:$B,0))),""))</f>
      </c>
      <c r="D113" s="52">
        <f t="array" ref="D113">IF($C113="","",IFERROR(IF(INDEX('05_Theo_Doi_Gio_Cong_7_Ngay'!$R:$R,MATCH($C113,'05_Theo_Doi_Gio_Cong_7_Ngay'!$B:$B,0))=0,"",INDEX('05_Theo_Doi_Gio_Cong_7_Ngay'!$R:$R,MATCH($C113,'05_Theo_Doi_Gio_Cong_7_Ngay'!$B:$B,0))),""))</f>
      </c>
      <c r="E113" s="60">
        <f t="array" ref="E113">IF($B113="","",IFERROR(IF(INDEX('01_UngVien_PhongVan'!$D:$D,MATCH($B113,'01_UngVien_PhongVan'!$B:$B,0))=0,"",INDEX('01_UngVien_PhongVan'!$D:$D,MATCH($B113,'01_UngVien_PhongVan'!$B:$B,0))),""))</f>
      </c>
      <c r="F113" s="52">
        <f t="array" ref="F113">IF($B113="","",IFERROR(IF(INDEX('01_UngVien_PhongVan'!$F:$F,MATCH($B113,'01_UngVien_PhongVan'!$B:$B,0))=0,"",INDEX('01_UngVien_PhongVan'!$F:$F,MATCH($B113,'01_UngVien_PhongVan'!$B:$B,0))),""))</f>
      </c>
      <c r="G113" s="72">
        <f t="array" ref="G113">IF($B113="","",IFERROR(IF(INDEX('01_UngVien_PhongVan'!$G:$G,MATCH($B113,'01_UngVien_PhongVan'!$B:$B,0))=0,"",INDEX('01_UngVien_PhongVan'!$G:$G,MATCH($B113,'01_UngVien_PhongVan'!$B:$B,0))),""))</f>
      </c>
      <c r="H113" s="52">
        <f t="array" ref="H113">IF($B113="","",IFERROR(IF(INDEX('01_UngVien_PhongVan'!$H:$H,MATCH($B113,'01_UngVien_PhongVan'!$B:$B,0))=0,"",INDEX('01_UngVien_PhongVan'!$H:$H,MATCH($B113,'01_UngVien_PhongVan'!$B:$B,0))),""))</f>
      </c>
      <c r="I113" s="60">
        <f t="array" ref="I113">IF($B113="","",IFERROR(IF(INDEX('01_UngVien_PhongVan'!$I:$I,MATCH($B113,'01_UngVien_PhongVan'!$B:$B,0))=0,"",INDEX('01_UngVien_PhongVan'!$I:$I,MATCH($B113,'01_UngVien_PhongVan'!$B:$B,0))),""))</f>
      </c>
      <c r="J113" s="60">
        <f t="array" ref="J113">IF($B113="","",IFERROR(IF(INDEX('01_UngVien_PhongVan'!$J:$J,MATCH($B113,'01_UngVien_PhongVan'!$B:$B,0))=0,"",INDEX('01_UngVien_PhongVan'!$J:$J,MATCH($B113,'01_UngVien_PhongVan'!$B:$B,0))),""))</f>
      </c>
      <c r="K113" s="73">
        <f t="array" ref="K113">IF($B113="","",IFERROR(IF(INDEX('01_UngVien_PhongVan'!$K:$K,MATCH($B113,'01_UngVien_PhongVan'!$B:$B,0))=0,"",INDEX('01_UngVien_PhongVan'!$K:$K,MATCH($B113,'01_UngVien_PhongVan'!$B:$B,0))),""))</f>
      </c>
      <c r="L113" s="60">
        <f t="array" ref="L113">IF($B113="","",IFERROR(IF(INDEX('01_UngVien_PhongVan'!$L:$L,MATCH($B113,'01_UngVien_PhongVan'!$B:$B,0))=0,"",INDEX('01_UngVien_PhongVan'!$L:$L,MATCH($B113,'01_UngVien_PhongVan'!$B:$B,0))),""))</f>
      </c>
      <c r="M113" s="60">
        <f t="array" ref="M113">IF($B113="","",IFERROR(IF(INDEX('01_UngVien_PhongVan'!$E:$E,MATCH($B113,'01_UngVien_PhongVan'!$B:$B,0))=0,"",INDEX('01_UngVien_PhongVan'!$E:$E,MATCH($B113,'01_UngVien_PhongVan'!$B:$B,0))),""))</f>
      </c>
      <c r="N113" s="60">
        <f t="array" ref="N113">IF($B113="","",IFERROR(IF(INDEX('01_UngVien_PhongVan'!$M:$M,MATCH($B113,'01_UngVien_PhongVan'!$B:$B,0))=0,"",INDEX('01_UngVien_PhongVan'!$M:$M,MATCH($B113,'01_UngVien_PhongVan'!$B:$B,0))),""))</f>
      </c>
      <c r="O113" s="60">
        <f t="array" ref="O113">IF($B113="","",IFERROR(IF(INDEX('01_UngVien_PhongVan'!$N:$N,MATCH($B113,'01_UngVien_PhongVan'!$B:$B,0))=0,"",INDEX('01_UngVien_PhongVan'!$N:$N,MATCH($B113,'01_UngVien_PhongVan'!$B:$B,0))),""))</f>
      </c>
      <c r="P113" s="60">
        <f t="array" ref="P113">IF($B113="","",IFERROR(IF(INDEX('01_UngVien_PhongVan'!$O:$O,MATCH($B113,'01_UngVien_PhongVan'!$B:$B,0))=0,"",INDEX('01_UngVien_PhongVan'!$O:$O,MATCH($B113,'01_UngVien_PhongVan'!$B:$B,0))),""))</f>
      </c>
      <c r="Q113" s="60">
        <f t="array" ref="Q113">IF($B113="","",IFERROR(IF(INDEX('01_UngVien_PhongVan'!$P:$P,MATCH($B113,'01_UngVien_PhongVan'!$B:$B,0))=0,"",INDEX('01_UngVien_PhongVan'!$P:$P,MATCH($B113,'01_UngVien_PhongVan'!$B:$B,0))),""))</f>
      </c>
      <c r="R113" s="60">
        <f t="array" ref="R113">IF($B113="","",IFERROR(IF(INDEX('01_UngVien_PhongVan'!$Q:$Q,MATCH($B113,'01_UngVien_PhongVan'!$B:$B,0))=0,"",INDEX('01_UngVien_PhongVan'!$Q:$Q,MATCH($B113,'01_UngVien_PhongVan'!$B:$B,0))),""))</f>
      </c>
      <c r="S113" s="60">
        <f t="array" ref="S113">IF($B113="","",IFERROR(IF(INDEX('01_UngVien_PhongVan'!$R:$R,MATCH($B113,'01_UngVien_PhongVan'!$B:$B,0))=0,"",INDEX('01_UngVien_PhongVan'!$R:$R,MATCH($B113,'01_UngVien_PhongVan'!$B:$B,0))),""))</f>
      </c>
      <c r="T113" s="60">
        <f t="array" ref="T113">IF($B113="","",IFERROR(IF(INDEX('01_UngVien_PhongVan'!$U:$U,MATCH($B113,'01_UngVien_PhongVan'!$B:$B,0))=0,"",INDEX('01_UngVien_PhongVan'!$U:$U,MATCH($B113,'01_UngVien_PhongVan'!$B:$B,0))),""))</f>
      </c>
      <c r="U113" s="73">
        <f t="array" ref="U113">IF($B113="","",IFERROR(IF(INDEX('01_UngVien_PhongVan'!$C:$C,MATCH($B113,'01_UngVien_PhongVan'!$B:$B,0))=0,"",INDEX('01_UngVien_PhongVan'!$C:$C,MATCH($B113,'01_UngVien_PhongVan'!$B:$B,0))),""))</f>
      </c>
      <c r="V113" s="73">
        <f t="array" ref="V113">IF($B113="","",IFERROR(IF(INDEX('02_DS_Nhan_Viec'!$D:$D,MATCH($B113,'02_DS_Nhan_Viec'!$B:$B,0))=0,"",INDEX('02_DS_Nhan_Viec'!$D:$D,MATCH($B113,'02_DS_Nhan_Viec'!$B:$B,0))),""))</f>
      </c>
      <c r="W113" s="73">
        <f t="array" ref="W113">IF($B113="","",IFERROR(IF(INDEX('02_DS_Nhan_Viec'!$E:$E,MATCH($B113,'02_DS_Nhan_Viec'!$B:$B,0))=0,"",INDEX('02_DS_Nhan_Viec'!$E:$E,MATCH($B113,'02_DS_Nhan_Viec'!$B:$B,0))),""))</f>
      </c>
      <c r="X113" s="73">
        <f t="array" ref="X113">IF($C113="","",IFERROR(IF(INDEX('05_Theo_Doi_Gio_Cong_7_Ngay'!$P:$P,MATCH($C113,'05_Theo_Doi_Gio_Cong_7_Ngay'!$B:$B,0))=0,"",INDEX('05_Theo_Doi_Gio_Cong_7_Ngay'!$P:$P,MATCH($C113,'05_Theo_Doi_Gio_Cong_7_Ngay'!$B:$B,0))),""))</f>
      </c>
      <c r="Y113" s="60">
        <f t="array" ref="Y113">IF($C113="","",IFERROR(IF(INDEX('05_Theo_Doi_Gio_Cong_7_Ngay'!$M:$M,MATCH($C113,'05_Theo_Doi_Gio_Cong_7_Ngay'!$B:$B,0))=0,"",INDEX('05_Theo_Doi_Gio_Cong_7_Ngay'!$M:$M,MATCH($C113,'05_Theo_Doi_Gio_Cong_7_Ngay'!$B:$B,0))),""))</f>
      </c>
      <c r="Z113" s="60">
        <f t="array" ref="Z113">IF($C113="","",IFERROR(IF(INDEX('05_Theo_Doi_Gio_Cong_7_Ngay'!$Q:$Q,MATCH($C113,'05_Theo_Doi_Gio_Cong_7_Ngay'!$B:$B,0))=0,"",INDEX('05_Theo_Doi_Gio_Cong_7_Ngay'!$Q:$Q,MATCH($C113,'05_Theo_Doi_Gio_Cong_7_Ngay'!$B:$B,0))),""))</f>
      </c>
      <c r="AA113" s="60">
        <f t="array" ref="AA113">IF($B113="","",IFERROR(IF(INDEX('02_DS_Nhan_Viec'!$H:$H,MATCH($B113,'02_DS_Nhan_Viec'!$B:$B,0))=0,"",INDEX('02_DS_Nhan_Viec'!$H:$H,MATCH($B113,'02_DS_Nhan_Viec'!$B:$B,0))),""))</f>
      </c>
      <c r="AB113" s="60">
        <f t="array" ref="AB113">IF($B113="","",IFERROR(IF(INDEX('02_DS_Nhan_Viec'!$I:$I,MATCH($B113,'02_DS_Nhan_Viec'!$B:$B,0))=0,"",INDEX('02_DS_Nhan_Viec'!$I:$I,MATCH($B113,'02_DS_Nhan_Viec'!$B:$B,0))),""))</f>
      </c>
      <c r="AC113" s="61">
        <f t="array" ref="AC113">IF($B113="","",IF($C113="","Đang theo dõi",IF(OR(IFERROR(INDEX('05_Theo_Doi_Gio_Cong_7_Ngay'!$R:$R,MATCH($C113,'05_Theo_Doi_Gio_Cong_7_Ngay'!$B:$B,0)),"")="",IFERROR(INDEX('05_Theo_Doi_Gio_Cong_7_Ngay'!$R:$R,MATCH($C113,'05_Theo_Doi_Gio_Cong_7_Ngay'!$B:$B,0)),0)=0),"Đang theo dõi",IFERROR(INDEX('06_DS_Chinh_Thuc'!$K:$K,MATCH(IFERROR(INDEX('05_Theo_Doi_Gio_Cong_7_Ngay'!$R:$R,MATCH($C113,'05_Theo_Doi_Gio_Cong_7_Ngay'!$B:$B,0)),0),'06_DS_Chinh_Thuc'!$B:$B,0)),"Đang theo dõi"))))</f>
      </c>
    </row>
    <row r="114" ht="14.25" customHeight="1" spans="1:29" x14ac:dyDescent="0.25">
      <c r="A114" s="52">
        <f t="shared" si="0"/>
      </c>
      <c r="B114" s="52">
        <f t="array" ref="B114">IFERROR(INDEX('02_DS_Nhan_Viec'!$B:$B,MATCH(113,'02_DS_Nhan_Viec'!$M:$M,0)),"")</f>
      </c>
      <c r="C114" s="52">
        <f t="array" ref="C114">IF($B114="","",IFERROR(IF(INDEX('02_DS_Nhan_Viec'!$J:$J,MATCH($B114,'02_DS_Nhan_Viec'!$B:$B,0))=0,"",INDEX('02_DS_Nhan_Viec'!$J:$J,MATCH($B114,'02_DS_Nhan_Viec'!$B:$B,0))),""))</f>
      </c>
      <c r="D114" s="52">
        <f t="array" ref="D114">IF($C114="","",IFERROR(IF(INDEX('05_Theo_Doi_Gio_Cong_7_Ngay'!$R:$R,MATCH($C114,'05_Theo_Doi_Gio_Cong_7_Ngay'!$B:$B,0))=0,"",INDEX('05_Theo_Doi_Gio_Cong_7_Ngay'!$R:$R,MATCH($C114,'05_Theo_Doi_Gio_Cong_7_Ngay'!$B:$B,0))),""))</f>
      </c>
      <c r="E114" s="60">
        <f t="array" ref="E114">IF($B114="","",IFERROR(IF(INDEX('01_UngVien_PhongVan'!$D:$D,MATCH($B114,'01_UngVien_PhongVan'!$B:$B,0))=0,"",INDEX('01_UngVien_PhongVan'!$D:$D,MATCH($B114,'01_UngVien_PhongVan'!$B:$B,0))),""))</f>
      </c>
      <c r="F114" s="52">
        <f t="array" ref="F114">IF($B114="","",IFERROR(IF(INDEX('01_UngVien_PhongVan'!$F:$F,MATCH($B114,'01_UngVien_PhongVan'!$B:$B,0))=0,"",INDEX('01_UngVien_PhongVan'!$F:$F,MATCH($B114,'01_UngVien_PhongVan'!$B:$B,0))),""))</f>
      </c>
      <c r="G114" s="72">
        <f t="array" ref="G114">IF($B114="","",IFERROR(IF(INDEX('01_UngVien_PhongVan'!$G:$G,MATCH($B114,'01_UngVien_PhongVan'!$B:$B,0))=0,"",INDEX('01_UngVien_PhongVan'!$G:$G,MATCH($B114,'01_UngVien_PhongVan'!$B:$B,0))),""))</f>
      </c>
      <c r="H114" s="52">
        <f t="array" ref="H114">IF($B114="","",IFERROR(IF(INDEX('01_UngVien_PhongVan'!$H:$H,MATCH($B114,'01_UngVien_PhongVan'!$B:$B,0))=0,"",INDEX('01_UngVien_PhongVan'!$H:$H,MATCH($B114,'01_UngVien_PhongVan'!$B:$B,0))),""))</f>
      </c>
      <c r="I114" s="60">
        <f t="array" ref="I114">IF($B114="","",IFERROR(IF(INDEX('01_UngVien_PhongVan'!$I:$I,MATCH($B114,'01_UngVien_PhongVan'!$B:$B,0))=0,"",INDEX('01_UngVien_PhongVan'!$I:$I,MATCH($B114,'01_UngVien_PhongVan'!$B:$B,0))),""))</f>
      </c>
      <c r="J114" s="60">
        <f t="array" ref="J114">IF($B114="","",IFERROR(IF(INDEX('01_UngVien_PhongVan'!$J:$J,MATCH($B114,'01_UngVien_PhongVan'!$B:$B,0))=0,"",INDEX('01_UngVien_PhongVan'!$J:$J,MATCH($B114,'01_UngVien_PhongVan'!$B:$B,0))),""))</f>
      </c>
      <c r="K114" s="73">
        <f t="array" ref="K114">IF($B114="","",IFERROR(IF(INDEX('01_UngVien_PhongVan'!$K:$K,MATCH($B114,'01_UngVien_PhongVan'!$B:$B,0))=0,"",INDEX('01_UngVien_PhongVan'!$K:$K,MATCH($B114,'01_UngVien_PhongVan'!$B:$B,0))),""))</f>
      </c>
      <c r="L114" s="60">
        <f t="array" ref="L114">IF($B114="","",IFERROR(IF(INDEX('01_UngVien_PhongVan'!$L:$L,MATCH($B114,'01_UngVien_PhongVan'!$B:$B,0))=0,"",INDEX('01_UngVien_PhongVan'!$L:$L,MATCH($B114,'01_UngVien_PhongVan'!$B:$B,0))),""))</f>
      </c>
      <c r="M114" s="60">
        <f t="array" ref="M114">IF($B114="","",IFERROR(IF(INDEX('01_UngVien_PhongVan'!$E:$E,MATCH($B114,'01_UngVien_PhongVan'!$B:$B,0))=0,"",INDEX('01_UngVien_PhongVan'!$E:$E,MATCH($B114,'01_UngVien_PhongVan'!$B:$B,0))),""))</f>
      </c>
      <c r="N114" s="60">
        <f t="array" ref="N114">IF($B114="","",IFERROR(IF(INDEX('01_UngVien_PhongVan'!$M:$M,MATCH($B114,'01_UngVien_PhongVan'!$B:$B,0))=0,"",INDEX('01_UngVien_PhongVan'!$M:$M,MATCH($B114,'01_UngVien_PhongVan'!$B:$B,0))),""))</f>
      </c>
      <c r="O114" s="60">
        <f t="array" ref="O114">IF($B114="","",IFERROR(IF(INDEX('01_UngVien_PhongVan'!$N:$N,MATCH($B114,'01_UngVien_PhongVan'!$B:$B,0))=0,"",INDEX('01_UngVien_PhongVan'!$N:$N,MATCH($B114,'01_UngVien_PhongVan'!$B:$B,0))),""))</f>
      </c>
      <c r="P114" s="60">
        <f t="array" ref="P114">IF($B114="","",IFERROR(IF(INDEX('01_UngVien_PhongVan'!$O:$O,MATCH($B114,'01_UngVien_PhongVan'!$B:$B,0))=0,"",INDEX('01_UngVien_PhongVan'!$O:$O,MATCH($B114,'01_UngVien_PhongVan'!$B:$B,0))),""))</f>
      </c>
      <c r="Q114" s="60">
        <f t="array" ref="Q114">IF($B114="","",IFERROR(IF(INDEX('01_UngVien_PhongVan'!$P:$P,MATCH($B114,'01_UngVien_PhongVan'!$B:$B,0))=0,"",INDEX('01_UngVien_PhongVan'!$P:$P,MATCH($B114,'01_UngVien_PhongVan'!$B:$B,0))),""))</f>
      </c>
      <c r="R114" s="60">
        <f t="array" ref="R114">IF($B114="","",IFERROR(IF(INDEX('01_UngVien_PhongVan'!$Q:$Q,MATCH($B114,'01_UngVien_PhongVan'!$B:$B,0))=0,"",INDEX('01_UngVien_PhongVan'!$Q:$Q,MATCH($B114,'01_UngVien_PhongVan'!$B:$B,0))),""))</f>
      </c>
      <c r="S114" s="60">
        <f t="array" ref="S114">IF($B114="","",IFERROR(IF(INDEX('01_UngVien_PhongVan'!$R:$R,MATCH($B114,'01_UngVien_PhongVan'!$B:$B,0))=0,"",INDEX('01_UngVien_PhongVan'!$R:$R,MATCH($B114,'01_UngVien_PhongVan'!$B:$B,0))),""))</f>
      </c>
      <c r="T114" s="60">
        <f t="array" ref="T114">IF($B114="","",IFERROR(IF(INDEX('01_UngVien_PhongVan'!$U:$U,MATCH($B114,'01_UngVien_PhongVan'!$B:$B,0))=0,"",INDEX('01_UngVien_PhongVan'!$U:$U,MATCH($B114,'01_UngVien_PhongVan'!$B:$B,0))),""))</f>
      </c>
      <c r="U114" s="73">
        <f t="array" ref="U114">IF($B114="","",IFERROR(IF(INDEX('01_UngVien_PhongVan'!$C:$C,MATCH($B114,'01_UngVien_PhongVan'!$B:$B,0))=0,"",INDEX('01_UngVien_PhongVan'!$C:$C,MATCH($B114,'01_UngVien_PhongVan'!$B:$B,0))),""))</f>
      </c>
      <c r="V114" s="73">
        <f t="array" ref="V114">IF($B114="","",IFERROR(IF(INDEX('02_DS_Nhan_Viec'!$D:$D,MATCH($B114,'02_DS_Nhan_Viec'!$B:$B,0))=0,"",INDEX('02_DS_Nhan_Viec'!$D:$D,MATCH($B114,'02_DS_Nhan_Viec'!$B:$B,0))),""))</f>
      </c>
      <c r="W114" s="73">
        <f t="array" ref="W114">IF($B114="","",IFERROR(IF(INDEX('02_DS_Nhan_Viec'!$E:$E,MATCH($B114,'02_DS_Nhan_Viec'!$B:$B,0))=0,"",INDEX('02_DS_Nhan_Viec'!$E:$E,MATCH($B114,'02_DS_Nhan_Viec'!$B:$B,0))),""))</f>
      </c>
      <c r="X114" s="73">
        <f t="array" ref="X114">IF($C114="","",IFERROR(IF(INDEX('05_Theo_Doi_Gio_Cong_7_Ngay'!$P:$P,MATCH($C114,'05_Theo_Doi_Gio_Cong_7_Ngay'!$B:$B,0))=0,"",INDEX('05_Theo_Doi_Gio_Cong_7_Ngay'!$P:$P,MATCH($C114,'05_Theo_Doi_Gio_Cong_7_Ngay'!$B:$B,0))),""))</f>
      </c>
      <c r="Y114" s="60">
        <f t="array" ref="Y114">IF($C114="","",IFERROR(IF(INDEX('05_Theo_Doi_Gio_Cong_7_Ngay'!$M:$M,MATCH($C114,'05_Theo_Doi_Gio_Cong_7_Ngay'!$B:$B,0))=0,"",INDEX('05_Theo_Doi_Gio_Cong_7_Ngay'!$M:$M,MATCH($C114,'05_Theo_Doi_Gio_Cong_7_Ngay'!$B:$B,0))),""))</f>
      </c>
      <c r="Z114" s="60">
        <f t="array" ref="Z114">IF($C114="","",IFERROR(IF(INDEX('05_Theo_Doi_Gio_Cong_7_Ngay'!$Q:$Q,MATCH($C114,'05_Theo_Doi_Gio_Cong_7_Ngay'!$B:$B,0))=0,"",INDEX('05_Theo_Doi_Gio_Cong_7_Ngay'!$Q:$Q,MATCH($C114,'05_Theo_Doi_Gio_Cong_7_Ngay'!$B:$B,0))),""))</f>
      </c>
      <c r="AA114" s="60">
        <f t="array" ref="AA114">IF($B114="","",IFERROR(IF(INDEX('02_DS_Nhan_Viec'!$H:$H,MATCH($B114,'02_DS_Nhan_Viec'!$B:$B,0))=0,"",INDEX('02_DS_Nhan_Viec'!$H:$H,MATCH($B114,'02_DS_Nhan_Viec'!$B:$B,0))),""))</f>
      </c>
      <c r="AB114" s="60">
        <f t="array" ref="AB114">IF($B114="","",IFERROR(IF(INDEX('02_DS_Nhan_Viec'!$I:$I,MATCH($B114,'02_DS_Nhan_Viec'!$B:$B,0))=0,"",INDEX('02_DS_Nhan_Viec'!$I:$I,MATCH($B114,'02_DS_Nhan_Viec'!$B:$B,0))),""))</f>
      </c>
      <c r="AC114" s="61">
        <f t="array" ref="AC114">IF($B114="","",IF($C114="","Đang theo dõi",IF(OR(IFERROR(INDEX('05_Theo_Doi_Gio_Cong_7_Ngay'!$R:$R,MATCH($C114,'05_Theo_Doi_Gio_Cong_7_Ngay'!$B:$B,0)),"")="",IFERROR(INDEX('05_Theo_Doi_Gio_Cong_7_Ngay'!$R:$R,MATCH($C114,'05_Theo_Doi_Gio_Cong_7_Ngay'!$B:$B,0)),0)=0),"Đang theo dõi",IFERROR(INDEX('06_DS_Chinh_Thuc'!$K:$K,MATCH(IFERROR(INDEX('05_Theo_Doi_Gio_Cong_7_Ngay'!$R:$R,MATCH($C114,'05_Theo_Doi_Gio_Cong_7_Ngay'!$B:$B,0)),0),'06_DS_Chinh_Thuc'!$B:$B,0)),"Đang theo dõi"))))</f>
      </c>
    </row>
    <row r="115" ht="14.25" customHeight="1" spans="1:29" x14ac:dyDescent="0.25">
      <c r="A115" s="52">
        <f t="shared" si="0"/>
      </c>
      <c r="B115" s="52">
        <f t="array" ref="B115">IFERROR(INDEX('02_DS_Nhan_Viec'!$B:$B,MATCH(114,'02_DS_Nhan_Viec'!$M:$M,0)),"")</f>
      </c>
      <c r="C115" s="52">
        <f t="array" ref="C115">IF($B115="","",IFERROR(IF(INDEX('02_DS_Nhan_Viec'!$J:$J,MATCH($B115,'02_DS_Nhan_Viec'!$B:$B,0))=0,"",INDEX('02_DS_Nhan_Viec'!$J:$J,MATCH($B115,'02_DS_Nhan_Viec'!$B:$B,0))),""))</f>
      </c>
      <c r="D115" s="52">
        <f t="array" ref="D115">IF($C115="","",IFERROR(IF(INDEX('05_Theo_Doi_Gio_Cong_7_Ngay'!$R:$R,MATCH($C115,'05_Theo_Doi_Gio_Cong_7_Ngay'!$B:$B,0))=0,"",INDEX('05_Theo_Doi_Gio_Cong_7_Ngay'!$R:$R,MATCH($C115,'05_Theo_Doi_Gio_Cong_7_Ngay'!$B:$B,0))),""))</f>
      </c>
      <c r="E115" s="60">
        <f t="array" ref="E115">IF($B115="","",IFERROR(IF(INDEX('01_UngVien_PhongVan'!$D:$D,MATCH($B115,'01_UngVien_PhongVan'!$B:$B,0))=0,"",INDEX('01_UngVien_PhongVan'!$D:$D,MATCH($B115,'01_UngVien_PhongVan'!$B:$B,0))),""))</f>
      </c>
      <c r="F115" s="52">
        <f t="array" ref="F115">IF($B115="","",IFERROR(IF(INDEX('01_UngVien_PhongVan'!$F:$F,MATCH($B115,'01_UngVien_PhongVan'!$B:$B,0))=0,"",INDEX('01_UngVien_PhongVan'!$F:$F,MATCH($B115,'01_UngVien_PhongVan'!$B:$B,0))),""))</f>
      </c>
      <c r="G115" s="72">
        <f t="array" ref="G115">IF($B115="","",IFERROR(IF(INDEX('01_UngVien_PhongVan'!$G:$G,MATCH($B115,'01_UngVien_PhongVan'!$B:$B,0))=0,"",INDEX('01_UngVien_PhongVan'!$G:$G,MATCH($B115,'01_UngVien_PhongVan'!$B:$B,0))),""))</f>
      </c>
      <c r="H115" s="52">
        <f t="array" ref="H115">IF($B115="","",IFERROR(IF(INDEX('01_UngVien_PhongVan'!$H:$H,MATCH($B115,'01_UngVien_PhongVan'!$B:$B,0))=0,"",INDEX('01_UngVien_PhongVan'!$H:$H,MATCH($B115,'01_UngVien_PhongVan'!$B:$B,0))),""))</f>
      </c>
      <c r="I115" s="60">
        <f t="array" ref="I115">IF($B115="","",IFERROR(IF(INDEX('01_UngVien_PhongVan'!$I:$I,MATCH($B115,'01_UngVien_PhongVan'!$B:$B,0))=0,"",INDEX('01_UngVien_PhongVan'!$I:$I,MATCH($B115,'01_UngVien_PhongVan'!$B:$B,0))),""))</f>
      </c>
      <c r="J115" s="60">
        <f t="array" ref="J115">IF($B115="","",IFERROR(IF(INDEX('01_UngVien_PhongVan'!$J:$J,MATCH($B115,'01_UngVien_PhongVan'!$B:$B,0))=0,"",INDEX('01_UngVien_PhongVan'!$J:$J,MATCH($B115,'01_UngVien_PhongVan'!$B:$B,0))),""))</f>
      </c>
      <c r="K115" s="73">
        <f t="array" ref="K115">IF($B115="","",IFERROR(IF(INDEX('01_UngVien_PhongVan'!$K:$K,MATCH($B115,'01_UngVien_PhongVan'!$B:$B,0))=0,"",INDEX('01_UngVien_PhongVan'!$K:$K,MATCH($B115,'01_UngVien_PhongVan'!$B:$B,0))),""))</f>
      </c>
      <c r="L115" s="60">
        <f t="array" ref="L115">IF($B115="","",IFERROR(IF(INDEX('01_UngVien_PhongVan'!$L:$L,MATCH($B115,'01_UngVien_PhongVan'!$B:$B,0))=0,"",INDEX('01_UngVien_PhongVan'!$L:$L,MATCH($B115,'01_UngVien_PhongVan'!$B:$B,0))),""))</f>
      </c>
      <c r="M115" s="60">
        <f t="array" ref="M115">IF($B115="","",IFERROR(IF(INDEX('01_UngVien_PhongVan'!$E:$E,MATCH($B115,'01_UngVien_PhongVan'!$B:$B,0))=0,"",INDEX('01_UngVien_PhongVan'!$E:$E,MATCH($B115,'01_UngVien_PhongVan'!$B:$B,0))),""))</f>
      </c>
      <c r="N115" s="60">
        <f t="array" ref="N115">IF($B115="","",IFERROR(IF(INDEX('01_UngVien_PhongVan'!$M:$M,MATCH($B115,'01_UngVien_PhongVan'!$B:$B,0))=0,"",INDEX('01_UngVien_PhongVan'!$M:$M,MATCH($B115,'01_UngVien_PhongVan'!$B:$B,0))),""))</f>
      </c>
      <c r="O115" s="60">
        <f t="array" ref="O115">IF($B115="","",IFERROR(IF(INDEX('01_UngVien_PhongVan'!$N:$N,MATCH($B115,'01_UngVien_PhongVan'!$B:$B,0))=0,"",INDEX('01_UngVien_PhongVan'!$N:$N,MATCH($B115,'01_UngVien_PhongVan'!$B:$B,0))),""))</f>
      </c>
      <c r="P115" s="60">
        <f t="array" ref="P115">IF($B115="","",IFERROR(IF(INDEX('01_UngVien_PhongVan'!$O:$O,MATCH($B115,'01_UngVien_PhongVan'!$B:$B,0))=0,"",INDEX('01_UngVien_PhongVan'!$O:$O,MATCH($B115,'01_UngVien_PhongVan'!$B:$B,0))),""))</f>
      </c>
      <c r="Q115" s="60">
        <f t="array" ref="Q115">IF($B115="","",IFERROR(IF(INDEX('01_UngVien_PhongVan'!$P:$P,MATCH($B115,'01_UngVien_PhongVan'!$B:$B,0))=0,"",INDEX('01_UngVien_PhongVan'!$P:$P,MATCH($B115,'01_UngVien_PhongVan'!$B:$B,0))),""))</f>
      </c>
      <c r="R115" s="60">
        <f t="array" ref="R115">IF($B115="","",IFERROR(IF(INDEX('01_UngVien_PhongVan'!$Q:$Q,MATCH($B115,'01_UngVien_PhongVan'!$B:$B,0))=0,"",INDEX('01_UngVien_PhongVan'!$Q:$Q,MATCH($B115,'01_UngVien_PhongVan'!$B:$B,0))),""))</f>
      </c>
      <c r="S115" s="60">
        <f t="array" ref="S115">IF($B115="","",IFERROR(IF(INDEX('01_UngVien_PhongVan'!$R:$R,MATCH($B115,'01_UngVien_PhongVan'!$B:$B,0))=0,"",INDEX('01_UngVien_PhongVan'!$R:$R,MATCH($B115,'01_UngVien_PhongVan'!$B:$B,0))),""))</f>
      </c>
      <c r="T115" s="60">
        <f t="array" ref="T115">IF($B115="","",IFERROR(IF(INDEX('01_UngVien_PhongVan'!$U:$U,MATCH($B115,'01_UngVien_PhongVan'!$B:$B,0))=0,"",INDEX('01_UngVien_PhongVan'!$U:$U,MATCH($B115,'01_UngVien_PhongVan'!$B:$B,0))),""))</f>
      </c>
      <c r="U115" s="73">
        <f t="array" ref="U115">IF($B115="","",IFERROR(IF(INDEX('01_UngVien_PhongVan'!$C:$C,MATCH($B115,'01_UngVien_PhongVan'!$B:$B,0))=0,"",INDEX('01_UngVien_PhongVan'!$C:$C,MATCH($B115,'01_UngVien_PhongVan'!$B:$B,0))),""))</f>
      </c>
      <c r="V115" s="73">
        <f t="array" ref="V115">IF($B115="","",IFERROR(IF(INDEX('02_DS_Nhan_Viec'!$D:$D,MATCH($B115,'02_DS_Nhan_Viec'!$B:$B,0))=0,"",INDEX('02_DS_Nhan_Viec'!$D:$D,MATCH($B115,'02_DS_Nhan_Viec'!$B:$B,0))),""))</f>
      </c>
      <c r="W115" s="73">
        <f t="array" ref="W115">IF($B115="","",IFERROR(IF(INDEX('02_DS_Nhan_Viec'!$E:$E,MATCH($B115,'02_DS_Nhan_Viec'!$B:$B,0))=0,"",INDEX('02_DS_Nhan_Viec'!$E:$E,MATCH($B115,'02_DS_Nhan_Viec'!$B:$B,0))),""))</f>
      </c>
      <c r="X115" s="73">
        <f t="array" ref="X115">IF($C115="","",IFERROR(IF(INDEX('05_Theo_Doi_Gio_Cong_7_Ngay'!$P:$P,MATCH($C115,'05_Theo_Doi_Gio_Cong_7_Ngay'!$B:$B,0))=0,"",INDEX('05_Theo_Doi_Gio_Cong_7_Ngay'!$P:$P,MATCH($C115,'05_Theo_Doi_Gio_Cong_7_Ngay'!$B:$B,0))),""))</f>
      </c>
      <c r="Y115" s="60">
        <f t="array" ref="Y115">IF($C115="","",IFERROR(IF(INDEX('05_Theo_Doi_Gio_Cong_7_Ngay'!$M:$M,MATCH($C115,'05_Theo_Doi_Gio_Cong_7_Ngay'!$B:$B,0))=0,"",INDEX('05_Theo_Doi_Gio_Cong_7_Ngay'!$M:$M,MATCH($C115,'05_Theo_Doi_Gio_Cong_7_Ngay'!$B:$B,0))),""))</f>
      </c>
      <c r="Z115" s="60">
        <f t="array" ref="Z115">IF($C115="","",IFERROR(IF(INDEX('05_Theo_Doi_Gio_Cong_7_Ngay'!$Q:$Q,MATCH($C115,'05_Theo_Doi_Gio_Cong_7_Ngay'!$B:$B,0))=0,"",INDEX('05_Theo_Doi_Gio_Cong_7_Ngay'!$Q:$Q,MATCH($C115,'05_Theo_Doi_Gio_Cong_7_Ngay'!$B:$B,0))),""))</f>
      </c>
      <c r="AA115" s="60">
        <f t="array" ref="AA115">IF($B115="","",IFERROR(IF(INDEX('02_DS_Nhan_Viec'!$H:$H,MATCH($B115,'02_DS_Nhan_Viec'!$B:$B,0))=0,"",INDEX('02_DS_Nhan_Viec'!$H:$H,MATCH($B115,'02_DS_Nhan_Viec'!$B:$B,0))),""))</f>
      </c>
      <c r="AB115" s="60">
        <f t="array" ref="AB115">IF($B115="","",IFERROR(IF(INDEX('02_DS_Nhan_Viec'!$I:$I,MATCH($B115,'02_DS_Nhan_Viec'!$B:$B,0))=0,"",INDEX('02_DS_Nhan_Viec'!$I:$I,MATCH($B115,'02_DS_Nhan_Viec'!$B:$B,0))),""))</f>
      </c>
      <c r="AC115" s="61">
        <f t="array" ref="AC115">IF($B115="","",IF($C115="","Đang theo dõi",IF(OR(IFERROR(INDEX('05_Theo_Doi_Gio_Cong_7_Ngay'!$R:$R,MATCH($C115,'05_Theo_Doi_Gio_Cong_7_Ngay'!$B:$B,0)),"")="",IFERROR(INDEX('05_Theo_Doi_Gio_Cong_7_Ngay'!$R:$R,MATCH($C115,'05_Theo_Doi_Gio_Cong_7_Ngay'!$B:$B,0)),0)=0),"Đang theo dõi",IFERROR(INDEX('06_DS_Chinh_Thuc'!$K:$K,MATCH(IFERROR(INDEX('05_Theo_Doi_Gio_Cong_7_Ngay'!$R:$R,MATCH($C115,'05_Theo_Doi_Gio_Cong_7_Ngay'!$B:$B,0)),0),'06_DS_Chinh_Thuc'!$B:$B,0)),"Đang theo dõi"))))</f>
      </c>
    </row>
    <row r="116" ht="14.25" customHeight="1" spans="1:29" x14ac:dyDescent="0.25">
      <c r="A116" s="52">
        <f t="shared" si="0"/>
      </c>
      <c r="B116" s="52">
        <f t="array" ref="B116">IFERROR(INDEX('02_DS_Nhan_Viec'!$B:$B,MATCH(115,'02_DS_Nhan_Viec'!$M:$M,0)),"")</f>
      </c>
      <c r="C116" s="52">
        <f t="array" ref="C116">IF($B116="","",IFERROR(IF(INDEX('02_DS_Nhan_Viec'!$J:$J,MATCH($B116,'02_DS_Nhan_Viec'!$B:$B,0))=0,"",INDEX('02_DS_Nhan_Viec'!$J:$J,MATCH($B116,'02_DS_Nhan_Viec'!$B:$B,0))),""))</f>
      </c>
      <c r="D116" s="52">
        <f t="array" ref="D116">IF($C116="","",IFERROR(IF(INDEX('05_Theo_Doi_Gio_Cong_7_Ngay'!$R:$R,MATCH($C116,'05_Theo_Doi_Gio_Cong_7_Ngay'!$B:$B,0))=0,"",INDEX('05_Theo_Doi_Gio_Cong_7_Ngay'!$R:$R,MATCH($C116,'05_Theo_Doi_Gio_Cong_7_Ngay'!$B:$B,0))),""))</f>
      </c>
      <c r="E116" s="60">
        <f t="array" ref="E116">IF($B116="","",IFERROR(IF(INDEX('01_UngVien_PhongVan'!$D:$D,MATCH($B116,'01_UngVien_PhongVan'!$B:$B,0))=0,"",INDEX('01_UngVien_PhongVan'!$D:$D,MATCH($B116,'01_UngVien_PhongVan'!$B:$B,0))),""))</f>
      </c>
      <c r="F116" s="52">
        <f t="array" ref="F116">IF($B116="","",IFERROR(IF(INDEX('01_UngVien_PhongVan'!$F:$F,MATCH($B116,'01_UngVien_PhongVan'!$B:$B,0))=0,"",INDEX('01_UngVien_PhongVan'!$F:$F,MATCH($B116,'01_UngVien_PhongVan'!$B:$B,0))),""))</f>
      </c>
      <c r="G116" s="72">
        <f t="array" ref="G116">IF($B116="","",IFERROR(IF(INDEX('01_UngVien_PhongVan'!$G:$G,MATCH($B116,'01_UngVien_PhongVan'!$B:$B,0))=0,"",INDEX('01_UngVien_PhongVan'!$G:$G,MATCH($B116,'01_UngVien_PhongVan'!$B:$B,0))),""))</f>
      </c>
      <c r="H116" s="52">
        <f t="array" ref="H116">IF($B116="","",IFERROR(IF(INDEX('01_UngVien_PhongVan'!$H:$H,MATCH($B116,'01_UngVien_PhongVan'!$B:$B,0))=0,"",INDEX('01_UngVien_PhongVan'!$H:$H,MATCH($B116,'01_UngVien_PhongVan'!$B:$B,0))),""))</f>
      </c>
      <c r="I116" s="60">
        <f t="array" ref="I116">IF($B116="","",IFERROR(IF(INDEX('01_UngVien_PhongVan'!$I:$I,MATCH($B116,'01_UngVien_PhongVan'!$B:$B,0))=0,"",INDEX('01_UngVien_PhongVan'!$I:$I,MATCH($B116,'01_UngVien_PhongVan'!$B:$B,0))),""))</f>
      </c>
      <c r="J116" s="60">
        <f t="array" ref="J116">IF($B116="","",IFERROR(IF(INDEX('01_UngVien_PhongVan'!$J:$J,MATCH($B116,'01_UngVien_PhongVan'!$B:$B,0))=0,"",INDEX('01_UngVien_PhongVan'!$J:$J,MATCH($B116,'01_UngVien_PhongVan'!$B:$B,0))),""))</f>
      </c>
      <c r="K116" s="73">
        <f t="array" ref="K116">IF($B116="","",IFERROR(IF(INDEX('01_UngVien_PhongVan'!$K:$K,MATCH($B116,'01_UngVien_PhongVan'!$B:$B,0))=0,"",INDEX('01_UngVien_PhongVan'!$K:$K,MATCH($B116,'01_UngVien_PhongVan'!$B:$B,0))),""))</f>
      </c>
      <c r="L116" s="60">
        <f t="array" ref="L116">IF($B116="","",IFERROR(IF(INDEX('01_UngVien_PhongVan'!$L:$L,MATCH($B116,'01_UngVien_PhongVan'!$B:$B,0))=0,"",INDEX('01_UngVien_PhongVan'!$L:$L,MATCH($B116,'01_UngVien_PhongVan'!$B:$B,0))),""))</f>
      </c>
      <c r="M116" s="60">
        <f t="array" ref="M116">IF($B116="","",IFERROR(IF(INDEX('01_UngVien_PhongVan'!$E:$E,MATCH($B116,'01_UngVien_PhongVan'!$B:$B,0))=0,"",INDEX('01_UngVien_PhongVan'!$E:$E,MATCH($B116,'01_UngVien_PhongVan'!$B:$B,0))),""))</f>
      </c>
      <c r="N116" s="60">
        <f t="array" ref="N116">IF($B116="","",IFERROR(IF(INDEX('01_UngVien_PhongVan'!$M:$M,MATCH($B116,'01_UngVien_PhongVan'!$B:$B,0))=0,"",INDEX('01_UngVien_PhongVan'!$M:$M,MATCH($B116,'01_UngVien_PhongVan'!$B:$B,0))),""))</f>
      </c>
      <c r="O116" s="60">
        <f t="array" ref="O116">IF($B116="","",IFERROR(IF(INDEX('01_UngVien_PhongVan'!$N:$N,MATCH($B116,'01_UngVien_PhongVan'!$B:$B,0))=0,"",INDEX('01_UngVien_PhongVan'!$N:$N,MATCH($B116,'01_UngVien_PhongVan'!$B:$B,0))),""))</f>
      </c>
      <c r="P116" s="60">
        <f t="array" ref="P116">IF($B116="","",IFERROR(IF(INDEX('01_UngVien_PhongVan'!$O:$O,MATCH($B116,'01_UngVien_PhongVan'!$B:$B,0))=0,"",INDEX('01_UngVien_PhongVan'!$O:$O,MATCH($B116,'01_UngVien_PhongVan'!$B:$B,0))),""))</f>
      </c>
      <c r="Q116" s="60">
        <f t="array" ref="Q116">IF($B116="","",IFERROR(IF(INDEX('01_UngVien_PhongVan'!$P:$P,MATCH($B116,'01_UngVien_PhongVan'!$B:$B,0))=0,"",INDEX('01_UngVien_PhongVan'!$P:$P,MATCH($B116,'01_UngVien_PhongVan'!$B:$B,0))),""))</f>
      </c>
      <c r="R116" s="60">
        <f t="array" ref="R116">IF($B116="","",IFERROR(IF(INDEX('01_UngVien_PhongVan'!$Q:$Q,MATCH($B116,'01_UngVien_PhongVan'!$B:$B,0))=0,"",INDEX('01_UngVien_PhongVan'!$Q:$Q,MATCH($B116,'01_UngVien_PhongVan'!$B:$B,0))),""))</f>
      </c>
      <c r="S116" s="60">
        <f t="array" ref="S116">IF($B116="","",IFERROR(IF(INDEX('01_UngVien_PhongVan'!$R:$R,MATCH($B116,'01_UngVien_PhongVan'!$B:$B,0))=0,"",INDEX('01_UngVien_PhongVan'!$R:$R,MATCH($B116,'01_UngVien_PhongVan'!$B:$B,0))),""))</f>
      </c>
      <c r="T116" s="60">
        <f t="array" ref="T116">IF($B116="","",IFERROR(IF(INDEX('01_UngVien_PhongVan'!$U:$U,MATCH($B116,'01_UngVien_PhongVan'!$B:$B,0))=0,"",INDEX('01_UngVien_PhongVan'!$U:$U,MATCH($B116,'01_UngVien_PhongVan'!$B:$B,0))),""))</f>
      </c>
      <c r="U116" s="73">
        <f t="array" ref="U116">IF($B116="","",IFERROR(IF(INDEX('01_UngVien_PhongVan'!$C:$C,MATCH($B116,'01_UngVien_PhongVan'!$B:$B,0))=0,"",INDEX('01_UngVien_PhongVan'!$C:$C,MATCH($B116,'01_UngVien_PhongVan'!$B:$B,0))),""))</f>
      </c>
      <c r="V116" s="73">
        <f t="array" ref="V116">IF($B116="","",IFERROR(IF(INDEX('02_DS_Nhan_Viec'!$D:$D,MATCH($B116,'02_DS_Nhan_Viec'!$B:$B,0))=0,"",INDEX('02_DS_Nhan_Viec'!$D:$D,MATCH($B116,'02_DS_Nhan_Viec'!$B:$B,0))),""))</f>
      </c>
      <c r="W116" s="73">
        <f t="array" ref="W116">IF($B116="","",IFERROR(IF(INDEX('02_DS_Nhan_Viec'!$E:$E,MATCH($B116,'02_DS_Nhan_Viec'!$B:$B,0))=0,"",INDEX('02_DS_Nhan_Viec'!$E:$E,MATCH($B116,'02_DS_Nhan_Viec'!$B:$B,0))),""))</f>
      </c>
      <c r="X116" s="73">
        <f t="array" ref="X116">IF($C116="","",IFERROR(IF(INDEX('05_Theo_Doi_Gio_Cong_7_Ngay'!$P:$P,MATCH($C116,'05_Theo_Doi_Gio_Cong_7_Ngay'!$B:$B,0))=0,"",INDEX('05_Theo_Doi_Gio_Cong_7_Ngay'!$P:$P,MATCH($C116,'05_Theo_Doi_Gio_Cong_7_Ngay'!$B:$B,0))),""))</f>
      </c>
      <c r="Y116" s="60">
        <f t="array" ref="Y116">IF($C116="","",IFERROR(IF(INDEX('05_Theo_Doi_Gio_Cong_7_Ngay'!$M:$M,MATCH($C116,'05_Theo_Doi_Gio_Cong_7_Ngay'!$B:$B,0))=0,"",INDEX('05_Theo_Doi_Gio_Cong_7_Ngay'!$M:$M,MATCH($C116,'05_Theo_Doi_Gio_Cong_7_Ngay'!$B:$B,0))),""))</f>
      </c>
      <c r="Z116" s="60">
        <f t="array" ref="Z116">IF($C116="","",IFERROR(IF(INDEX('05_Theo_Doi_Gio_Cong_7_Ngay'!$Q:$Q,MATCH($C116,'05_Theo_Doi_Gio_Cong_7_Ngay'!$B:$B,0))=0,"",INDEX('05_Theo_Doi_Gio_Cong_7_Ngay'!$Q:$Q,MATCH($C116,'05_Theo_Doi_Gio_Cong_7_Ngay'!$B:$B,0))),""))</f>
      </c>
      <c r="AA116" s="60">
        <f t="array" ref="AA116">IF($B116="","",IFERROR(IF(INDEX('02_DS_Nhan_Viec'!$H:$H,MATCH($B116,'02_DS_Nhan_Viec'!$B:$B,0))=0,"",INDEX('02_DS_Nhan_Viec'!$H:$H,MATCH($B116,'02_DS_Nhan_Viec'!$B:$B,0))),""))</f>
      </c>
      <c r="AB116" s="60">
        <f t="array" ref="AB116">IF($B116="","",IFERROR(IF(INDEX('02_DS_Nhan_Viec'!$I:$I,MATCH($B116,'02_DS_Nhan_Viec'!$B:$B,0))=0,"",INDEX('02_DS_Nhan_Viec'!$I:$I,MATCH($B116,'02_DS_Nhan_Viec'!$B:$B,0))),""))</f>
      </c>
      <c r="AC116" s="61">
        <f t="array" ref="AC116">IF($B116="","",IF($C116="","Đang theo dõi",IF(OR(IFERROR(INDEX('05_Theo_Doi_Gio_Cong_7_Ngay'!$R:$R,MATCH($C116,'05_Theo_Doi_Gio_Cong_7_Ngay'!$B:$B,0)),"")="",IFERROR(INDEX('05_Theo_Doi_Gio_Cong_7_Ngay'!$R:$R,MATCH($C116,'05_Theo_Doi_Gio_Cong_7_Ngay'!$B:$B,0)),0)=0),"Đang theo dõi",IFERROR(INDEX('06_DS_Chinh_Thuc'!$K:$K,MATCH(IFERROR(INDEX('05_Theo_Doi_Gio_Cong_7_Ngay'!$R:$R,MATCH($C116,'05_Theo_Doi_Gio_Cong_7_Ngay'!$B:$B,0)),0),'06_DS_Chinh_Thuc'!$B:$B,0)),"Đang theo dõi"))))</f>
      </c>
    </row>
    <row r="117" ht="14.25" customHeight="1" spans="1:29" x14ac:dyDescent="0.25">
      <c r="A117" s="52">
        <f t="shared" si="0"/>
      </c>
      <c r="B117" s="52">
        <f t="array" ref="B117">IFERROR(INDEX('02_DS_Nhan_Viec'!$B:$B,MATCH(116,'02_DS_Nhan_Viec'!$M:$M,0)),"")</f>
      </c>
      <c r="C117" s="52">
        <f t="array" ref="C117">IF($B117="","",IFERROR(IF(INDEX('02_DS_Nhan_Viec'!$J:$J,MATCH($B117,'02_DS_Nhan_Viec'!$B:$B,0))=0,"",INDEX('02_DS_Nhan_Viec'!$J:$J,MATCH($B117,'02_DS_Nhan_Viec'!$B:$B,0))),""))</f>
      </c>
      <c r="D117" s="52">
        <f t="array" ref="D117">IF($C117="","",IFERROR(IF(INDEX('05_Theo_Doi_Gio_Cong_7_Ngay'!$R:$R,MATCH($C117,'05_Theo_Doi_Gio_Cong_7_Ngay'!$B:$B,0))=0,"",INDEX('05_Theo_Doi_Gio_Cong_7_Ngay'!$R:$R,MATCH($C117,'05_Theo_Doi_Gio_Cong_7_Ngay'!$B:$B,0))),""))</f>
      </c>
      <c r="E117" s="60">
        <f t="array" ref="E117">IF($B117="","",IFERROR(IF(INDEX('01_UngVien_PhongVan'!$D:$D,MATCH($B117,'01_UngVien_PhongVan'!$B:$B,0))=0,"",INDEX('01_UngVien_PhongVan'!$D:$D,MATCH($B117,'01_UngVien_PhongVan'!$B:$B,0))),""))</f>
      </c>
      <c r="F117" s="52">
        <f t="array" ref="F117">IF($B117="","",IFERROR(IF(INDEX('01_UngVien_PhongVan'!$F:$F,MATCH($B117,'01_UngVien_PhongVan'!$B:$B,0))=0,"",INDEX('01_UngVien_PhongVan'!$F:$F,MATCH($B117,'01_UngVien_PhongVan'!$B:$B,0))),""))</f>
      </c>
      <c r="G117" s="72">
        <f t="array" ref="G117">IF($B117="","",IFERROR(IF(INDEX('01_UngVien_PhongVan'!$G:$G,MATCH($B117,'01_UngVien_PhongVan'!$B:$B,0))=0,"",INDEX('01_UngVien_PhongVan'!$G:$G,MATCH($B117,'01_UngVien_PhongVan'!$B:$B,0))),""))</f>
      </c>
      <c r="H117" s="52">
        <f t="array" ref="H117">IF($B117="","",IFERROR(IF(INDEX('01_UngVien_PhongVan'!$H:$H,MATCH($B117,'01_UngVien_PhongVan'!$B:$B,0))=0,"",INDEX('01_UngVien_PhongVan'!$H:$H,MATCH($B117,'01_UngVien_PhongVan'!$B:$B,0))),""))</f>
      </c>
      <c r="I117" s="60">
        <f t="array" ref="I117">IF($B117="","",IFERROR(IF(INDEX('01_UngVien_PhongVan'!$I:$I,MATCH($B117,'01_UngVien_PhongVan'!$B:$B,0))=0,"",INDEX('01_UngVien_PhongVan'!$I:$I,MATCH($B117,'01_UngVien_PhongVan'!$B:$B,0))),""))</f>
      </c>
      <c r="J117" s="60">
        <f t="array" ref="J117">IF($B117="","",IFERROR(IF(INDEX('01_UngVien_PhongVan'!$J:$J,MATCH($B117,'01_UngVien_PhongVan'!$B:$B,0))=0,"",INDEX('01_UngVien_PhongVan'!$J:$J,MATCH($B117,'01_UngVien_PhongVan'!$B:$B,0))),""))</f>
      </c>
      <c r="K117" s="73">
        <f t="array" ref="K117">IF($B117="","",IFERROR(IF(INDEX('01_UngVien_PhongVan'!$K:$K,MATCH($B117,'01_UngVien_PhongVan'!$B:$B,0))=0,"",INDEX('01_UngVien_PhongVan'!$K:$K,MATCH($B117,'01_UngVien_PhongVan'!$B:$B,0))),""))</f>
      </c>
      <c r="L117" s="60">
        <f t="array" ref="L117">IF($B117="","",IFERROR(IF(INDEX('01_UngVien_PhongVan'!$L:$L,MATCH($B117,'01_UngVien_PhongVan'!$B:$B,0))=0,"",INDEX('01_UngVien_PhongVan'!$L:$L,MATCH($B117,'01_UngVien_PhongVan'!$B:$B,0))),""))</f>
      </c>
      <c r="M117" s="60">
        <f t="array" ref="M117">IF($B117="","",IFERROR(IF(INDEX('01_UngVien_PhongVan'!$E:$E,MATCH($B117,'01_UngVien_PhongVan'!$B:$B,0))=0,"",INDEX('01_UngVien_PhongVan'!$E:$E,MATCH($B117,'01_UngVien_PhongVan'!$B:$B,0))),""))</f>
      </c>
      <c r="N117" s="60">
        <f t="array" ref="N117">IF($B117="","",IFERROR(IF(INDEX('01_UngVien_PhongVan'!$M:$M,MATCH($B117,'01_UngVien_PhongVan'!$B:$B,0))=0,"",INDEX('01_UngVien_PhongVan'!$M:$M,MATCH($B117,'01_UngVien_PhongVan'!$B:$B,0))),""))</f>
      </c>
      <c r="O117" s="60">
        <f t="array" ref="O117">IF($B117="","",IFERROR(IF(INDEX('01_UngVien_PhongVan'!$N:$N,MATCH($B117,'01_UngVien_PhongVan'!$B:$B,0))=0,"",INDEX('01_UngVien_PhongVan'!$N:$N,MATCH($B117,'01_UngVien_PhongVan'!$B:$B,0))),""))</f>
      </c>
      <c r="P117" s="60">
        <f t="array" ref="P117">IF($B117="","",IFERROR(IF(INDEX('01_UngVien_PhongVan'!$O:$O,MATCH($B117,'01_UngVien_PhongVan'!$B:$B,0))=0,"",INDEX('01_UngVien_PhongVan'!$O:$O,MATCH($B117,'01_UngVien_PhongVan'!$B:$B,0))),""))</f>
      </c>
      <c r="Q117" s="60">
        <f t="array" ref="Q117">IF($B117="","",IFERROR(IF(INDEX('01_UngVien_PhongVan'!$P:$P,MATCH($B117,'01_UngVien_PhongVan'!$B:$B,0))=0,"",INDEX('01_UngVien_PhongVan'!$P:$P,MATCH($B117,'01_UngVien_PhongVan'!$B:$B,0))),""))</f>
      </c>
      <c r="R117" s="60">
        <f t="array" ref="R117">IF($B117="","",IFERROR(IF(INDEX('01_UngVien_PhongVan'!$Q:$Q,MATCH($B117,'01_UngVien_PhongVan'!$B:$B,0))=0,"",INDEX('01_UngVien_PhongVan'!$Q:$Q,MATCH($B117,'01_UngVien_PhongVan'!$B:$B,0))),""))</f>
      </c>
      <c r="S117" s="60">
        <f t="array" ref="S117">IF($B117="","",IFERROR(IF(INDEX('01_UngVien_PhongVan'!$R:$R,MATCH($B117,'01_UngVien_PhongVan'!$B:$B,0))=0,"",INDEX('01_UngVien_PhongVan'!$R:$R,MATCH($B117,'01_UngVien_PhongVan'!$B:$B,0))),""))</f>
      </c>
      <c r="T117" s="60">
        <f t="array" ref="T117">IF($B117="","",IFERROR(IF(INDEX('01_UngVien_PhongVan'!$U:$U,MATCH($B117,'01_UngVien_PhongVan'!$B:$B,0))=0,"",INDEX('01_UngVien_PhongVan'!$U:$U,MATCH($B117,'01_UngVien_PhongVan'!$B:$B,0))),""))</f>
      </c>
      <c r="U117" s="73">
        <f t="array" ref="U117">IF($B117="","",IFERROR(IF(INDEX('01_UngVien_PhongVan'!$C:$C,MATCH($B117,'01_UngVien_PhongVan'!$B:$B,0))=0,"",INDEX('01_UngVien_PhongVan'!$C:$C,MATCH($B117,'01_UngVien_PhongVan'!$B:$B,0))),""))</f>
      </c>
      <c r="V117" s="73">
        <f t="array" ref="V117">IF($B117="","",IFERROR(IF(INDEX('02_DS_Nhan_Viec'!$D:$D,MATCH($B117,'02_DS_Nhan_Viec'!$B:$B,0))=0,"",INDEX('02_DS_Nhan_Viec'!$D:$D,MATCH($B117,'02_DS_Nhan_Viec'!$B:$B,0))),""))</f>
      </c>
      <c r="W117" s="73">
        <f t="array" ref="W117">IF($B117="","",IFERROR(IF(INDEX('02_DS_Nhan_Viec'!$E:$E,MATCH($B117,'02_DS_Nhan_Viec'!$B:$B,0))=0,"",INDEX('02_DS_Nhan_Viec'!$E:$E,MATCH($B117,'02_DS_Nhan_Viec'!$B:$B,0))),""))</f>
      </c>
      <c r="X117" s="73">
        <f t="array" ref="X117">IF($C117="","",IFERROR(IF(INDEX('05_Theo_Doi_Gio_Cong_7_Ngay'!$P:$P,MATCH($C117,'05_Theo_Doi_Gio_Cong_7_Ngay'!$B:$B,0))=0,"",INDEX('05_Theo_Doi_Gio_Cong_7_Ngay'!$P:$P,MATCH($C117,'05_Theo_Doi_Gio_Cong_7_Ngay'!$B:$B,0))),""))</f>
      </c>
      <c r="Y117" s="60">
        <f t="array" ref="Y117">IF($C117="","",IFERROR(IF(INDEX('05_Theo_Doi_Gio_Cong_7_Ngay'!$M:$M,MATCH($C117,'05_Theo_Doi_Gio_Cong_7_Ngay'!$B:$B,0))=0,"",INDEX('05_Theo_Doi_Gio_Cong_7_Ngay'!$M:$M,MATCH($C117,'05_Theo_Doi_Gio_Cong_7_Ngay'!$B:$B,0))),""))</f>
      </c>
      <c r="Z117" s="60">
        <f t="array" ref="Z117">IF($C117="","",IFERROR(IF(INDEX('05_Theo_Doi_Gio_Cong_7_Ngay'!$Q:$Q,MATCH($C117,'05_Theo_Doi_Gio_Cong_7_Ngay'!$B:$B,0))=0,"",INDEX('05_Theo_Doi_Gio_Cong_7_Ngay'!$Q:$Q,MATCH($C117,'05_Theo_Doi_Gio_Cong_7_Ngay'!$B:$B,0))),""))</f>
      </c>
      <c r="AA117" s="60">
        <f t="array" ref="AA117">IF($B117="","",IFERROR(IF(INDEX('02_DS_Nhan_Viec'!$H:$H,MATCH($B117,'02_DS_Nhan_Viec'!$B:$B,0))=0,"",INDEX('02_DS_Nhan_Viec'!$H:$H,MATCH($B117,'02_DS_Nhan_Viec'!$B:$B,0))),""))</f>
      </c>
      <c r="AB117" s="60">
        <f t="array" ref="AB117">IF($B117="","",IFERROR(IF(INDEX('02_DS_Nhan_Viec'!$I:$I,MATCH($B117,'02_DS_Nhan_Viec'!$B:$B,0))=0,"",INDEX('02_DS_Nhan_Viec'!$I:$I,MATCH($B117,'02_DS_Nhan_Viec'!$B:$B,0))),""))</f>
      </c>
      <c r="AC117" s="61">
        <f t="array" ref="AC117">IF($B117="","",IF($C117="","Đang theo dõi",IF(OR(IFERROR(INDEX('05_Theo_Doi_Gio_Cong_7_Ngay'!$R:$R,MATCH($C117,'05_Theo_Doi_Gio_Cong_7_Ngay'!$B:$B,0)),"")="",IFERROR(INDEX('05_Theo_Doi_Gio_Cong_7_Ngay'!$R:$R,MATCH($C117,'05_Theo_Doi_Gio_Cong_7_Ngay'!$B:$B,0)),0)=0),"Đang theo dõi",IFERROR(INDEX('06_DS_Chinh_Thuc'!$K:$K,MATCH(IFERROR(INDEX('05_Theo_Doi_Gio_Cong_7_Ngay'!$R:$R,MATCH($C117,'05_Theo_Doi_Gio_Cong_7_Ngay'!$B:$B,0)),0),'06_DS_Chinh_Thuc'!$B:$B,0)),"Đang theo dõi"))))</f>
      </c>
    </row>
    <row r="118" ht="14.25" customHeight="1" spans="1:29" x14ac:dyDescent="0.25">
      <c r="A118" s="52">
        <f t="shared" si="0"/>
      </c>
      <c r="B118" s="52">
        <f t="array" ref="B118">IFERROR(INDEX('02_DS_Nhan_Viec'!$B:$B,MATCH(117,'02_DS_Nhan_Viec'!$M:$M,0)),"")</f>
      </c>
      <c r="C118" s="52">
        <f t="array" ref="C118">IF($B118="","",IFERROR(IF(INDEX('02_DS_Nhan_Viec'!$J:$J,MATCH($B118,'02_DS_Nhan_Viec'!$B:$B,0))=0,"",INDEX('02_DS_Nhan_Viec'!$J:$J,MATCH($B118,'02_DS_Nhan_Viec'!$B:$B,0))),""))</f>
      </c>
      <c r="D118" s="52">
        <f t="array" ref="D118">IF($C118="","",IFERROR(IF(INDEX('05_Theo_Doi_Gio_Cong_7_Ngay'!$R:$R,MATCH($C118,'05_Theo_Doi_Gio_Cong_7_Ngay'!$B:$B,0))=0,"",INDEX('05_Theo_Doi_Gio_Cong_7_Ngay'!$R:$R,MATCH($C118,'05_Theo_Doi_Gio_Cong_7_Ngay'!$B:$B,0))),""))</f>
      </c>
      <c r="E118" s="60">
        <f t="array" ref="E118">IF($B118="","",IFERROR(IF(INDEX('01_UngVien_PhongVan'!$D:$D,MATCH($B118,'01_UngVien_PhongVan'!$B:$B,0))=0,"",INDEX('01_UngVien_PhongVan'!$D:$D,MATCH($B118,'01_UngVien_PhongVan'!$B:$B,0))),""))</f>
      </c>
      <c r="F118" s="52">
        <f t="array" ref="F118">IF($B118="","",IFERROR(IF(INDEX('01_UngVien_PhongVan'!$F:$F,MATCH($B118,'01_UngVien_PhongVan'!$B:$B,0))=0,"",INDEX('01_UngVien_PhongVan'!$F:$F,MATCH($B118,'01_UngVien_PhongVan'!$B:$B,0))),""))</f>
      </c>
      <c r="G118" s="72">
        <f t="array" ref="G118">IF($B118="","",IFERROR(IF(INDEX('01_UngVien_PhongVan'!$G:$G,MATCH($B118,'01_UngVien_PhongVan'!$B:$B,0))=0,"",INDEX('01_UngVien_PhongVan'!$G:$G,MATCH($B118,'01_UngVien_PhongVan'!$B:$B,0))),""))</f>
      </c>
      <c r="H118" s="52">
        <f t="array" ref="H118">IF($B118="","",IFERROR(IF(INDEX('01_UngVien_PhongVan'!$H:$H,MATCH($B118,'01_UngVien_PhongVan'!$B:$B,0))=0,"",INDEX('01_UngVien_PhongVan'!$H:$H,MATCH($B118,'01_UngVien_PhongVan'!$B:$B,0))),""))</f>
      </c>
      <c r="I118" s="60">
        <f t="array" ref="I118">IF($B118="","",IFERROR(IF(INDEX('01_UngVien_PhongVan'!$I:$I,MATCH($B118,'01_UngVien_PhongVan'!$B:$B,0))=0,"",INDEX('01_UngVien_PhongVan'!$I:$I,MATCH($B118,'01_UngVien_PhongVan'!$B:$B,0))),""))</f>
      </c>
      <c r="J118" s="60">
        <f t="array" ref="J118">IF($B118="","",IFERROR(IF(INDEX('01_UngVien_PhongVan'!$J:$J,MATCH($B118,'01_UngVien_PhongVan'!$B:$B,0))=0,"",INDEX('01_UngVien_PhongVan'!$J:$J,MATCH($B118,'01_UngVien_PhongVan'!$B:$B,0))),""))</f>
      </c>
      <c r="K118" s="73">
        <f t="array" ref="K118">IF($B118="","",IFERROR(IF(INDEX('01_UngVien_PhongVan'!$K:$K,MATCH($B118,'01_UngVien_PhongVan'!$B:$B,0))=0,"",INDEX('01_UngVien_PhongVan'!$K:$K,MATCH($B118,'01_UngVien_PhongVan'!$B:$B,0))),""))</f>
      </c>
      <c r="L118" s="60">
        <f t="array" ref="L118">IF($B118="","",IFERROR(IF(INDEX('01_UngVien_PhongVan'!$L:$L,MATCH($B118,'01_UngVien_PhongVan'!$B:$B,0))=0,"",INDEX('01_UngVien_PhongVan'!$L:$L,MATCH($B118,'01_UngVien_PhongVan'!$B:$B,0))),""))</f>
      </c>
      <c r="M118" s="60">
        <f t="array" ref="M118">IF($B118="","",IFERROR(IF(INDEX('01_UngVien_PhongVan'!$E:$E,MATCH($B118,'01_UngVien_PhongVan'!$B:$B,0))=0,"",INDEX('01_UngVien_PhongVan'!$E:$E,MATCH($B118,'01_UngVien_PhongVan'!$B:$B,0))),""))</f>
      </c>
      <c r="N118" s="60">
        <f t="array" ref="N118">IF($B118="","",IFERROR(IF(INDEX('01_UngVien_PhongVan'!$M:$M,MATCH($B118,'01_UngVien_PhongVan'!$B:$B,0))=0,"",INDEX('01_UngVien_PhongVan'!$M:$M,MATCH($B118,'01_UngVien_PhongVan'!$B:$B,0))),""))</f>
      </c>
      <c r="O118" s="60">
        <f t="array" ref="O118">IF($B118="","",IFERROR(IF(INDEX('01_UngVien_PhongVan'!$N:$N,MATCH($B118,'01_UngVien_PhongVan'!$B:$B,0))=0,"",INDEX('01_UngVien_PhongVan'!$N:$N,MATCH($B118,'01_UngVien_PhongVan'!$B:$B,0))),""))</f>
      </c>
      <c r="P118" s="60">
        <f t="array" ref="P118">IF($B118="","",IFERROR(IF(INDEX('01_UngVien_PhongVan'!$O:$O,MATCH($B118,'01_UngVien_PhongVan'!$B:$B,0))=0,"",INDEX('01_UngVien_PhongVan'!$O:$O,MATCH($B118,'01_UngVien_PhongVan'!$B:$B,0))),""))</f>
      </c>
      <c r="Q118" s="60">
        <f t="array" ref="Q118">IF($B118="","",IFERROR(IF(INDEX('01_UngVien_PhongVan'!$P:$P,MATCH($B118,'01_UngVien_PhongVan'!$B:$B,0))=0,"",INDEX('01_UngVien_PhongVan'!$P:$P,MATCH($B118,'01_UngVien_PhongVan'!$B:$B,0))),""))</f>
      </c>
      <c r="R118" s="60">
        <f t="array" ref="R118">IF($B118="","",IFERROR(IF(INDEX('01_UngVien_PhongVan'!$Q:$Q,MATCH($B118,'01_UngVien_PhongVan'!$B:$B,0))=0,"",INDEX('01_UngVien_PhongVan'!$Q:$Q,MATCH($B118,'01_UngVien_PhongVan'!$B:$B,0))),""))</f>
      </c>
      <c r="S118" s="60">
        <f t="array" ref="S118">IF($B118="","",IFERROR(IF(INDEX('01_UngVien_PhongVan'!$R:$R,MATCH($B118,'01_UngVien_PhongVan'!$B:$B,0))=0,"",INDEX('01_UngVien_PhongVan'!$R:$R,MATCH($B118,'01_UngVien_PhongVan'!$B:$B,0))),""))</f>
      </c>
      <c r="T118" s="60">
        <f t="array" ref="T118">IF($B118="","",IFERROR(IF(INDEX('01_UngVien_PhongVan'!$U:$U,MATCH($B118,'01_UngVien_PhongVan'!$B:$B,0))=0,"",INDEX('01_UngVien_PhongVan'!$U:$U,MATCH($B118,'01_UngVien_PhongVan'!$B:$B,0))),""))</f>
      </c>
      <c r="U118" s="73">
        <f t="array" ref="U118">IF($B118="","",IFERROR(IF(INDEX('01_UngVien_PhongVan'!$C:$C,MATCH($B118,'01_UngVien_PhongVan'!$B:$B,0))=0,"",INDEX('01_UngVien_PhongVan'!$C:$C,MATCH($B118,'01_UngVien_PhongVan'!$B:$B,0))),""))</f>
      </c>
      <c r="V118" s="73">
        <f t="array" ref="V118">IF($B118="","",IFERROR(IF(INDEX('02_DS_Nhan_Viec'!$D:$D,MATCH($B118,'02_DS_Nhan_Viec'!$B:$B,0))=0,"",INDEX('02_DS_Nhan_Viec'!$D:$D,MATCH($B118,'02_DS_Nhan_Viec'!$B:$B,0))),""))</f>
      </c>
      <c r="W118" s="73">
        <f t="array" ref="W118">IF($B118="","",IFERROR(IF(INDEX('02_DS_Nhan_Viec'!$E:$E,MATCH($B118,'02_DS_Nhan_Viec'!$B:$B,0))=0,"",INDEX('02_DS_Nhan_Viec'!$E:$E,MATCH($B118,'02_DS_Nhan_Viec'!$B:$B,0))),""))</f>
      </c>
      <c r="X118" s="73">
        <f t="array" ref="X118">IF($C118="","",IFERROR(IF(INDEX('05_Theo_Doi_Gio_Cong_7_Ngay'!$P:$P,MATCH($C118,'05_Theo_Doi_Gio_Cong_7_Ngay'!$B:$B,0))=0,"",INDEX('05_Theo_Doi_Gio_Cong_7_Ngay'!$P:$P,MATCH($C118,'05_Theo_Doi_Gio_Cong_7_Ngay'!$B:$B,0))),""))</f>
      </c>
      <c r="Y118" s="60">
        <f t="array" ref="Y118">IF($C118="","",IFERROR(IF(INDEX('05_Theo_Doi_Gio_Cong_7_Ngay'!$M:$M,MATCH($C118,'05_Theo_Doi_Gio_Cong_7_Ngay'!$B:$B,0))=0,"",INDEX('05_Theo_Doi_Gio_Cong_7_Ngay'!$M:$M,MATCH($C118,'05_Theo_Doi_Gio_Cong_7_Ngay'!$B:$B,0))),""))</f>
      </c>
      <c r="Z118" s="60">
        <f t="array" ref="Z118">IF($C118="","",IFERROR(IF(INDEX('05_Theo_Doi_Gio_Cong_7_Ngay'!$Q:$Q,MATCH($C118,'05_Theo_Doi_Gio_Cong_7_Ngay'!$B:$B,0))=0,"",INDEX('05_Theo_Doi_Gio_Cong_7_Ngay'!$Q:$Q,MATCH($C118,'05_Theo_Doi_Gio_Cong_7_Ngay'!$B:$B,0))),""))</f>
      </c>
      <c r="AA118" s="60">
        <f t="array" ref="AA118">IF($B118="","",IFERROR(IF(INDEX('02_DS_Nhan_Viec'!$H:$H,MATCH($B118,'02_DS_Nhan_Viec'!$B:$B,0))=0,"",INDEX('02_DS_Nhan_Viec'!$H:$H,MATCH($B118,'02_DS_Nhan_Viec'!$B:$B,0))),""))</f>
      </c>
      <c r="AB118" s="60">
        <f t="array" ref="AB118">IF($B118="","",IFERROR(IF(INDEX('02_DS_Nhan_Viec'!$I:$I,MATCH($B118,'02_DS_Nhan_Viec'!$B:$B,0))=0,"",INDEX('02_DS_Nhan_Viec'!$I:$I,MATCH($B118,'02_DS_Nhan_Viec'!$B:$B,0))),""))</f>
      </c>
      <c r="AC118" s="61">
        <f t="array" ref="AC118">IF($B118="","",IF($C118="","Đang theo dõi",IF(OR(IFERROR(INDEX('05_Theo_Doi_Gio_Cong_7_Ngay'!$R:$R,MATCH($C118,'05_Theo_Doi_Gio_Cong_7_Ngay'!$B:$B,0)),"")="",IFERROR(INDEX('05_Theo_Doi_Gio_Cong_7_Ngay'!$R:$R,MATCH($C118,'05_Theo_Doi_Gio_Cong_7_Ngay'!$B:$B,0)),0)=0),"Đang theo dõi",IFERROR(INDEX('06_DS_Chinh_Thuc'!$K:$K,MATCH(IFERROR(INDEX('05_Theo_Doi_Gio_Cong_7_Ngay'!$R:$R,MATCH($C118,'05_Theo_Doi_Gio_Cong_7_Ngay'!$B:$B,0)),0),'06_DS_Chinh_Thuc'!$B:$B,0)),"Đang theo dõi"))))</f>
      </c>
    </row>
    <row r="119" ht="14.25" customHeight="1" spans="1:29" x14ac:dyDescent="0.25">
      <c r="A119" s="52">
        <f t="shared" si="0"/>
      </c>
      <c r="B119" s="52">
        <f t="array" ref="B119">IFERROR(INDEX('02_DS_Nhan_Viec'!$B:$B,MATCH(118,'02_DS_Nhan_Viec'!$M:$M,0)),"")</f>
      </c>
      <c r="C119" s="52">
        <f t="array" ref="C119">IF($B119="","",IFERROR(IF(INDEX('02_DS_Nhan_Viec'!$J:$J,MATCH($B119,'02_DS_Nhan_Viec'!$B:$B,0))=0,"",INDEX('02_DS_Nhan_Viec'!$J:$J,MATCH($B119,'02_DS_Nhan_Viec'!$B:$B,0))),""))</f>
      </c>
      <c r="D119" s="52">
        <f t="array" ref="D119">IF($C119="","",IFERROR(IF(INDEX('05_Theo_Doi_Gio_Cong_7_Ngay'!$R:$R,MATCH($C119,'05_Theo_Doi_Gio_Cong_7_Ngay'!$B:$B,0))=0,"",INDEX('05_Theo_Doi_Gio_Cong_7_Ngay'!$R:$R,MATCH($C119,'05_Theo_Doi_Gio_Cong_7_Ngay'!$B:$B,0))),""))</f>
      </c>
      <c r="E119" s="60">
        <f t="array" ref="E119">IF($B119="","",IFERROR(IF(INDEX('01_UngVien_PhongVan'!$D:$D,MATCH($B119,'01_UngVien_PhongVan'!$B:$B,0))=0,"",INDEX('01_UngVien_PhongVan'!$D:$D,MATCH($B119,'01_UngVien_PhongVan'!$B:$B,0))),""))</f>
      </c>
      <c r="F119" s="52">
        <f t="array" ref="F119">IF($B119="","",IFERROR(IF(INDEX('01_UngVien_PhongVan'!$F:$F,MATCH($B119,'01_UngVien_PhongVan'!$B:$B,0))=0,"",INDEX('01_UngVien_PhongVan'!$F:$F,MATCH($B119,'01_UngVien_PhongVan'!$B:$B,0))),""))</f>
      </c>
      <c r="G119" s="72">
        <f t="array" ref="G119">IF($B119="","",IFERROR(IF(INDEX('01_UngVien_PhongVan'!$G:$G,MATCH($B119,'01_UngVien_PhongVan'!$B:$B,0))=0,"",INDEX('01_UngVien_PhongVan'!$G:$G,MATCH($B119,'01_UngVien_PhongVan'!$B:$B,0))),""))</f>
      </c>
      <c r="H119" s="52">
        <f t="array" ref="H119">IF($B119="","",IFERROR(IF(INDEX('01_UngVien_PhongVan'!$H:$H,MATCH($B119,'01_UngVien_PhongVan'!$B:$B,0))=0,"",INDEX('01_UngVien_PhongVan'!$H:$H,MATCH($B119,'01_UngVien_PhongVan'!$B:$B,0))),""))</f>
      </c>
      <c r="I119" s="60">
        <f t="array" ref="I119">IF($B119="","",IFERROR(IF(INDEX('01_UngVien_PhongVan'!$I:$I,MATCH($B119,'01_UngVien_PhongVan'!$B:$B,0))=0,"",INDEX('01_UngVien_PhongVan'!$I:$I,MATCH($B119,'01_UngVien_PhongVan'!$B:$B,0))),""))</f>
      </c>
      <c r="J119" s="60">
        <f t="array" ref="J119">IF($B119="","",IFERROR(IF(INDEX('01_UngVien_PhongVan'!$J:$J,MATCH($B119,'01_UngVien_PhongVan'!$B:$B,0))=0,"",INDEX('01_UngVien_PhongVan'!$J:$J,MATCH($B119,'01_UngVien_PhongVan'!$B:$B,0))),""))</f>
      </c>
      <c r="K119" s="73">
        <f t="array" ref="K119">IF($B119="","",IFERROR(IF(INDEX('01_UngVien_PhongVan'!$K:$K,MATCH($B119,'01_UngVien_PhongVan'!$B:$B,0))=0,"",INDEX('01_UngVien_PhongVan'!$K:$K,MATCH($B119,'01_UngVien_PhongVan'!$B:$B,0))),""))</f>
      </c>
      <c r="L119" s="60">
        <f t="array" ref="L119">IF($B119="","",IFERROR(IF(INDEX('01_UngVien_PhongVan'!$L:$L,MATCH($B119,'01_UngVien_PhongVan'!$B:$B,0))=0,"",INDEX('01_UngVien_PhongVan'!$L:$L,MATCH($B119,'01_UngVien_PhongVan'!$B:$B,0))),""))</f>
      </c>
      <c r="M119" s="60">
        <f t="array" ref="M119">IF($B119="","",IFERROR(IF(INDEX('01_UngVien_PhongVan'!$E:$E,MATCH($B119,'01_UngVien_PhongVan'!$B:$B,0))=0,"",INDEX('01_UngVien_PhongVan'!$E:$E,MATCH($B119,'01_UngVien_PhongVan'!$B:$B,0))),""))</f>
      </c>
      <c r="N119" s="60">
        <f t="array" ref="N119">IF($B119="","",IFERROR(IF(INDEX('01_UngVien_PhongVan'!$M:$M,MATCH($B119,'01_UngVien_PhongVan'!$B:$B,0))=0,"",INDEX('01_UngVien_PhongVan'!$M:$M,MATCH($B119,'01_UngVien_PhongVan'!$B:$B,0))),""))</f>
      </c>
      <c r="O119" s="60">
        <f t="array" ref="O119">IF($B119="","",IFERROR(IF(INDEX('01_UngVien_PhongVan'!$N:$N,MATCH($B119,'01_UngVien_PhongVan'!$B:$B,0))=0,"",INDEX('01_UngVien_PhongVan'!$N:$N,MATCH($B119,'01_UngVien_PhongVan'!$B:$B,0))),""))</f>
      </c>
      <c r="P119" s="60">
        <f t="array" ref="P119">IF($B119="","",IFERROR(IF(INDEX('01_UngVien_PhongVan'!$O:$O,MATCH($B119,'01_UngVien_PhongVan'!$B:$B,0))=0,"",INDEX('01_UngVien_PhongVan'!$O:$O,MATCH($B119,'01_UngVien_PhongVan'!$B:$B,0))),""))</f>
      </c>
      <c r="Q119" s="60">
        <f t="array" ref="Q119">IF($B119="","",IFERROR(IF(INDEX('01_UngVien_PhongVan'!$P:$P,MATCH($B119,'01_UngVien_PhongVan'!$B:$B,0))=0,"",INDEX('01_UngVien_PhongVan'!$P:$P,MATCH($B119,'01_UngVien_PhongVan'!$B:$B,0))),""))</f>
      </c>
      <c r="R119" s="60">
        <f t="array" ref="R119">IF($B119="","",IFERROR(IF(INDEX('01_UngVien_PhongVan'!$Q:$Q,MATCH($B119,'01_UngVien_PhongVan'!$B:$B,0))=0,"",INDEX('01_UngVien_PhongVan'!$Q:$Q,MATCH($B119,'01_UngVien_PhongVan'!$B:$B,0))),""))</f>
      </c>
      <c r="S119" s="60">
        <f t="array" ref="S119">IF($B119="","",IFERROR(IF(INDEX('01_UngVien_PhongVan'!$R:$R,MATCH($B119,'01_UngVien_PhongVan'!$B:$B,0))=0,"",INDEX('01_UngVien_PhongVan'!$R:$R,MATCH($B119,'01_UngVien_PhongVan'!$B:$B,0))),""))</f>
      </c>
      <c r="T119" s="60">
        <f t="array" ref="T119">IF($B119="","",IFERROR(IF(INDEX('01_UngVien_PhongVan'!$U:$U,MATCH($B119,'01_UngVien_PhongVan'!$B:$B,0))=0,"",INDEX('01_UngVien_PhongVan'!$U:$U,MATCH($B119,'01_UngVien_PhongVan'!$B:$B,0))),""))</f>
      </c>
      <c r="U119" s="73">
        <f t="array" ref="U119">IF($B119="","",IFERROR(IF(INDEX('01_UngVien_PhongVan'!$C:$C,MATCH($B119,'01_UngVien_PhongVan'!$B:$B,0))=0,"",INDEX('01_UngVien_PhongVan'!$C:$C,MATCH($B119,'01_UngVien_PhongVan'!$B:$B,0))),""))</f>
      </c>
      <c r="V119" s="73">
        <f t="array" ref="V119">IF($B119="","",IFERROR(IF(INDEX('02_DS_Nhan_Viec'!$D:$D,MATCH($B119,'02_DS_Nhan_Viec'!$B:$B,0))=0,"",INDEX('02_DS_Nhan_Viec'!$D:$D,MATCH($B119,'02_DS_Nhan_Viec'!$B:$B,0))),""))</f>
      </c>
      <c r="W119" s="73">
        <f t="array" ref="W119">IF($B119="","",IFERROR(IF(INDEX('02_DS_Nhan_Viec'!$E:$E,MATCH($B119,'02_DS_Nhan_Viec'!$B:$B,0))=0,"",INDEX('02_DS_Nhan_Viec'!$E:$E,MATCH($B119,'02_DS_Nhan_Viec'!$B:$B,0))),""))</f>
      </c>
      <c r="X119" s="73">
        <f t="array" ref="X119">IF($C119="","",IFERROR(IF(INDEX('05_Theo_Doi_Gio_Cong_7_Ngay'!$P:$P,MATCH($C119,'05_Theo_Doi_Gio_Cong_7_Ngay'!$B:$B,0))=0,"",INDEX('05_Theo_Doi_Gio_Cong_7_Ngay'!$P:$P,MATCH($C119,'05_Theo_Doi_Gio_Cong_7_Ngay'!$B:$B,0))),""))</f>
      </c>
      <c r="Y119" s="60">
        <f t="array" ref="Y119">IF($C119="","",IFERROR(IF(INDEX('05_Theo_Doi_Gio_Cong_7_Ngay'!$M:$M,MATCH($C119,'05_Theo_Doi_Gio_Cong_7_Ngay'!$B:$B,0))=0,"",INDEX('05_Theo_Doi_Gio_Cong_7_Ngay'!$M:$M,MATCH($C119,'05_Theo_Doi_Gio_Cong_7_Ngay'!$B:$B,0))),""))</f>
      </c>
      <c r="Z119" s="60">
        <f t="array" ref="Z119">IF($C119="","",IFERROR(IF(INDEX('05_Theo_Doi_Gio_Cong_7_Ngay'!$Q:$Q,MATCH($C119,'05_Theo_Doi_Gio_Cong_7_Ngay'!$B:$B,0))=0,"",INDEX('05_Theo_Doi_Gio_Cong_7_Ngay'!$Q:$Q,MATCH($C119,'05_Theo_Doi_Gio_Cong_7_Ngay'!$B:$B,0))),""))</f>
      </c>
      <c r="AA119" s="60">
        <f t="array" ref="AA119">IF($B119="","",IFERROR(IF(INDEX('02_DS_Nhan_Viec'!$H:$H,MATCH($B119,'02_DS_Nhan_Viec'!$B:$B,0))=0,"",INDEX('02_DS_Nhan_Viec'!$H:$H,MATCH($B119,'02_DS_Nhan_Viec'!$B:$B,0))),""))</f>
      </c>
      <c r="AB119" s="60">
        <f t="array" ref="AB119">IF($B119="","",IFERROR(IF(INDEX('02_DS_Nhan_Viec'!$I:$I,MATCH($B119,'02_DS_Nhan_Viec'!$B:$B,0))=0,"",INDEX('02_DS_Nhan_Viec'!$I:$I,MATCH($B119,'02_DS_Nhan_Viec'!$B:$B,0))),""))</f>
      </c>
      <c r="AC119" s="61">
        <f t="array" ref="AC119">IF($B119="","",IF($C119="","Đang theo dõi",IF(OR(IFERROR(INDEX('05_Theo_Doi_Gio_Cong_7_Ngay'!$R:$R,MATCH($C119,'05_Theo_Doi_Gio_Cong_7_Ngay'!$B:$B,0)),"")="",IFERROR(INDEX('05_Theo_Doi_Gio_Cong_7_Ngay'!$R:$R,MATCH($C119,'05_Theo_Doi_Gio_Cong_7_Ngay'!$B:$B,0)),0)=0),"Đang theo dõi",IFERROR(INDEX('06_DS_Chinh_Thuc'!$K:$K,MATCH(IFERROR(INDEX('05_Theo_Doi_Gio_Cong_7_Ngay'!$R:$R,MATCH($C119,'05_Theo_Doi_Gio_Cong_7_Ngay'!$B:$B,0)),0),'06_DS_Chinh_Thuc'!$B:$B,0)),"Đang theo dõi"))))</f>
      </c>
    </row>
    <row r="120" ht="14.25" customHeight="1" spans="1:29" x14ac:dyDescent="0.25">
      <c r="A120" s="52">
        <f t="shared" si="0"/>
      </c>
      <c r="B120" s="52">
        <f t="array" ref="B120">IFERROR(INDEX('02_DS_Nhan_Viec'!$B:$B,MATCH(119,'02_DS_Nhan_Viec'!$M:$M,0)),"")</f>
      </c>
      <c r="C120" s="52">
        <f t="array" ref="C120">IF($B120="","",IFERROR(IF(INDEX('02_DS_Nhan_Viec'!$J:$J,MATCH($B120,'02_DS_Nhan_Viec'!$B:$B,0))=0,"",INDEX('02_DS_Nhan_Viec'!$J:$J,MATCH($B120,'02_DS_Nhan_Viec'!$B:$B,0))),""))</f>
      </c>
      <c r="D120" s="52">
        <f t="array" ref="D120">IF($C120="","",IFERROR(IF(INDEX('05_Theo_Doi_Gio_Cong_7_Ngay'!$R:$R,MATCH($C120,'05_Theo_Doi_Gio_Cong_7_Ngay'!$B:$B,0))=0,"",INDEX('05_Theo_Doi_Gio_Cong_7_Ngay'!$R:$R,MATCH($C120,'05_Theo_Doi_Gio_Cong_7_Ngay'!$B:$B,0))),""))</f>
      </c>
      <c r="E120" s="60">
        <f t="array" ref="E120">IF($B120="","",IFERROR(IF(INDEX('01_UngVien_PhongVan'!$D:$D,MATCH($B120,'01_UngVien_PhongVan'!$B:$B,0))=0,"",INDEX('01_UngVien_PhongVan'!$D:$D,MATCH($B120,'01_UngVien_PhongVan'!$B:$B,0))),""))</f>
      </c>
      <c r="F120" s="52">
        <f t="array" ref="F120">IF($B120="","",IFERROR(IF(INDEX('01_UngVien_PhongVan'!$F:$F,MATCH($B120,'01_UngVien_PhongVan'!$B:$B,0))=0,"",INDEX('01_UngVien_PhongVan'!$F:$F,MATCH($B120,'01_UngVien_PhongVan'!$B:$B,0))),""))</f>
      </c>
      <c r="G120" s="72">
        <f t="array" ref="G120">IF($B120="","",IFERROR(IF(INDEX('01_UngVien_PhongVan'!$G:$G,MATCH($B120,'01_UngVien_PhongVan'!$B:$B,0))=0,"",INDEX('01_UngVien_PhongVan'!$G:$G,MATCH($B120,'01_UngVien_PhongVan'!$B:$B,0))),""))</f>
      </c>
      <c r="H120" s="52">
        <f t="array" ref="H120">IF($B120="","",IFERROR(IF(INDEX('01_UngVien_PhongVan'!$H:$H,MATCH($B120,'01_UngVien_PhongVan'!$B:$B,0))=0,"",INDEX('01_UngVien_PhongVan'!$H:$H,MATCH($B120,'01_UngVien_PhongVan'!$B:$B,0))),""))</f>
      </c>
      <c r="I120" s="60">
        <f t="array" ref="I120">IF($B120="","",IFERROR(IF(INDEX('01_UngVien_PhongVan'!$I:$I,MATCH($B120,'01_UngVien_PhongVan'!$B:$B,0))=0,"",INDEX('01_UngVien_PhongVan'!$I:$I,MATCH($B120,'01_UngVien_PhongVan'!$B:$B,0))),""))</f>
      </c>
      <c r="J120" s="60">
        <f t="array" ref="J120">IF($B120="","",IFERROR(IF(INDEX('01_UngVien_PhongVan'!$J:$J,MATCH($B120,'01_UngVien_PhongVan'!$B:$B,0))=0,"",INDEX('01_UngVien_PhongVan'!$J:$J,MATCH($B120,'01_UngVien_PhongVan'!$B:$B,0))),""))</f>
      </c>
      <c r="K120" s="73">
        <f t="array" ref="K120">IF($B120="","",IFERROR(IF(INDEX('01_UngVien_PhongVan'!$K:$K,MATCH($B120,'01_UngVien_PhongVan'!$B:$B,0))=0,"",INDEX('01_UngVien_PhongVan'!$K:$K,MATCH($B120,'01_UngVien_PhongVan'!$B:$B,0))),""))</f>
      </c>
      <c r="L120" s="60">
        <f t="array" ref="L120">IF($B120="","",IFERROR(IF(INDEX('01_UngVien_PhongVan'!$L:$L,MATCH($B120,'01_UngVien_PhongVan'!$B:$B,0))=0,"",INDEX('01_UngVien_PhongVan'!$L:$L,MATCH($B120,'01_UngVien_PhongVan'!$B:$B,0))),""))</f>
      </c>
      <c r="M120" s="60">
        <f t="array" ref="M120">IF($B120="","",IFERROR(IF(INDEX('01_UngVien_PhongVan'!$E:$E,MATCH($B120,'01_UngVien_PhongVan'!$B:$B,0))=0,"",INDEX('01_UngVien_PhongVan'!$E:$E,MATCH($B120,'01_UngVien_PhongVan'!$B:$B,0))),""))</f>
      </c>
      <c r="N120" s="60">
        <f t="array" ref="N120">IF($B120="","",IFERROR(IF(INDEX('01_UngVien_PhongVan'!$M:$M,MATCH($B120,'01_UngVien_PhongVan'!$B:$B,0))=0,"",INDEX('01_UngVien_PhongVan'!$M:$M,MATCH($B120,'01_UngVien_PhongVan'!$B:$B,0))),""))</f>
      </c>
      <c r="O120" s="60">
        <f t="array" ref="O120">IF($B120="","",IFERROR(IF(INDEX('01_UngVien_PhongVan'!$N:$N,MATCH($B120,'01_UngVien_PhongVan'!$B:$B,0))=0,"",INDEX('01_UngVien_PhongVan'!$N:$N,MATCH($B120,'01_UngVien_PhongVan'!$B:$B,0))),""))</f>
      </c>
      <c r="P120" s="60">
        <f t="array" ref="P120">IF($B120="","",IFERROR(IF(INDEX('01_UngVien_PhongVan'!$O:$O,MATCH($B120,'01_UngVien_PhongVan'!$B:$B,0))=0,"",INDEX('01_UngVien_PhongVan'!$O:$O,MATCH($B120,'01_UngVien_PhongVan'!$B:$B,0))),""))</f>
      </c>
      <c r="Q120" s="60">
        <f t="array" ref="Q120">IF($B120="","",IFERROR(IF(INDEX('01_UngVien_PhongVan'!$P:$P,MATCH($B120,'01_UngVien_PhongVan'!$B:$B,0))=0,"",INDEX('01_UngVien_PhongVan'!$P:$P,MATCH($B120,'01_UngVien_PhongVan'!$B:$B,0))),""))</f>
      </c>
      <c r="R120" s="60">
        <f t="array" ref="R120">IF($B120="","",IFERROR(IF(INDEX('01_UngVien_PhongVan'!$Q:$Q,MATCH($B120,'01_UngVien_PhongVan'!$B:$B,0))=0,"",INDEX('01_UngVien_PhongVan'!$Q:$Q,MATCH($B120,'01_UngVien_PhongVan'!$B:$B,0))),""))</f>
      </c>
      <c r="S120" s="60">
        <f t="array" ref="S120">IF($B120="","",IFERROR(IF(INDEX('01_UngVien_PhongVan'!$R:$R,MATCH($B120,'01_UngVien_PhongVan'!$B:$B,0))=0,"",INDEX('01_UngVien_PhongVan'!$R:$R,MATCH($B120,'01_UngVien_PhongVan'!$B:$B,0))),""))</f>
      </c>
      <c r="T120" s="60">
        <f t="array" ref="T120">IF($B120="","",IFERROR(IF(INDEX('01_UngVien_PhongVan'!$U:$U,MATCH($B120,'01_UngVien_PhongVan'!$B:$B,0))=0,"",INDEX('01_UngVien_PhongVan'!$U:$U,MATCH($B120,'01_UngVien_PhongVan'!$B:$B,0))),""))</f>
      </c>
      <c r="U120" s="73">
        <f t="array" ref="U120">IF($B120="","",IFERROR(IF(INDEX('01_UngVien_PhongVan'!$C:$C,MATCH($B120,'01_UngVien_PhongVan'!$B:$B,0))=0,"",INDEX('01_UngVien_PhongVan'!$C:$C,MATCH($B120,'01_UngVien_PhongVan'!$B:$B,0))),""))</f>
      </c>
      <c r="V120" s="73">
        <f t="array" ref="V120">IF($B120="","",IFERROR(IF(INDEX('02_DS_Nhan_Viec'!$D:$D,MATCH($B120,'02_DS_Nhan_Viec'!$B:$B,0))=0,"",INDEX('02_DS_Nhan_Viec'!$D:$D,MATCH($B120,'02_DS_Nhan_Viec'!$B:$B,0))),""))</f>
      </c>
      <c r="W120" s="73">
        <f t="array" ref="W120">IF($B120="","",IFERROR(IF(INDEX('02_DS_Nhan_Viec'!$E:$E,MATCH($B120,'02_DS_Nhan_Viec'!$B:$B,0))=0,"",INDEX('02_DS_Nhan_Viec'!$E:$E,MATCH($B120,'02_DS_Nhan_Viec'!$B:$B,0))),""))</f>
      </c>
      <c r="X120" s="73">
        <f t="array" ref="X120">IF($C120="","",IFERROR(IF(INDEX('05_Theo_Doi_Gio_Cong_7_Ngay'!$P:$P,MATCH($C120,'05_Theo_Doi_Gio_Cong_7_Ngay'!$B:$B,0))=0,"",INDEX('05_Theo_Doi_Gio_Cong_7_Ngay'!$P:$P,MATCH($C120,'05_Theo_Doi_Gio_Cong_7_Ngay'!$B:$B,0))),""))</f>
      </c>
      <c r="Y120" s="60">
        <f t="array" ref="Y120">IF($C120="","",IFERROR(IF(INDEX('05_Theo_Doi_Gio_Cong_7_Ngay'!$M:$M,MATCH($C120,'05_Theo_Doi_Gio_Cong_7_Ngay'!$B:$B,0))=0,"",INDEX('05_Theo_Doi_Gio_Cong_7_Ngay'!$M:$M,MATCH($C120,'05_Theo_Doi_Gio_Cong_7_Ngay'!$B:$B,0))),""))</f>
      </c>
      <c r="Z120" s="60">
        <f t="array" ref="Z120">IF($C120="","",IFERROR(IF(INDEX('05_Theo_Doi_Gio_Cong_7_Ngay'!$Q:$Q,MATCH($C120,'05_Theo_Doi_Gio_Cong_7_Ngay'!$B:$B,0))=0,"",INDEX('05_Theo_Doi_Gio_Cong_7_Ngay'!$Q:$Q,MATCH($C120,'05_Theo_Doi_Gio_Cong_7_Ngay'!$B:$B,0))),""))</f>
      </c>
      <c r="AA120" s="60">
        <f t="array" ref="AA120">IF($B120="","",IFERROR(IF(INDEX('02_DS_Nhan_Viec'!$H:$H,MATCH($B120,'02_DS_Nhan_Viec'!$B:$B,0))=0,"",INDEX('02_DS_Nhan_Viec'!$H:$H,MATCH($B120,'02_DS_Nhan_Viec'!$B:$B,0))),""))</f>
      </c>
      <c r="AB120" s="60">
        <f t="array" ref="AB120">IF($B120="","",IFERROR(IF(INDEX('02_DS_Nhan_Viec'!$I:$I,MATCH($B120,'02_DS_Nhan_Viec'!$B:$B,0))=0,"",INDEX('02_DS_Nhan_Viec'!$I:$I,MATCH($B120,'02_DS_Nhan_Viec'!$B:$B,0))),""))</f>
      </c>
      <c r="AC120" s="61">
        <f t="array" ref="AC120">IF($B120="","",IF($C120="","Đang theo dõi",IF(OR(IFERROR(INDEX('05_Theo_Doi_Gio_Cong_7_Ngay'!$R:$R,MATCH($C120,'05_Theo_Doi_Gio_Cong_7_Ngay'!$B:$B,0)),"")="",IFERROR(INDEX('05_Theo_Doi_Gio_Cong_7_Ngay'!$R:$R,MATCH($C120,'05_Theo_Doi_Gio_Cong_7_Ngay'!$B:$B,0)),0)=0),"Đang theo dõi",IFERROR(INDEX('06_DS_Chinh_Thuc'!$K:$K,MATCH(IFERROR(INDEX('05_Theo_Doi_Gio_Cong_7_Ngay'!$R:$R,MATCH($C120,'05_Theo_Doi_Gio_Cong_7_Ngay'!$B:$B,0)),0),'06_DS_Chinh_Thuc'!$B:$B,0)),"Đang theo dõi"))))</f>
      </c>
    </row>
    <row r="121" ht="14.25" customHeight="1" spans="1:29" x14ac:dyDescent="0.25">
      <c r="A121" s="52">
        <f t="shared" si="0"/>
      </c>
      <c r="B121" s="52">
        <f t="array" ref="B121">IFERROR(INDEX('02_DS_Nhan_Viec'!$B:$B,MATCH(120,'02_DS_Nhan_Viec'!$M:$M,0)),"")</f>
      </c>
      <c r="C121" s="52">
        <f t="array" ref="C121">IF($B121="","",IFERROR(IF(INDEX('02_DS_Nhan_Viec'!$J:$J,MATCH($B121,'02_DS_Nhan_Viec'!$B:$B,0))=0,"",INDEX('02_DS_Nhan_Viec'!$J:$J,MATCH($B121,'02_DS_Nhan_Viec'!$B:$B,0))),""))</f>
      </c>
      <c r="D121" s="52">
        <f t="array" ref="D121">IF($C121="","",IFERROR(IF(INDEX('05_Theo_Doi_Gio_Cong_7_Ngay'!$R:$R,MATCH($C121,'05_Theo_Doi_Gio_Cong_7_Ngay'!$B:$B,0))=0,"",INDEX('05_Theo_Doi_Gio_Cong_7_Ngay'!$R:$R,MATCH($C121,'05_Theo_Doi_Gio_Cong_7_Ngay'!$B:$B,0))),""))</f>
      </c>
      <c r="E121" s="60">
        <f t="array" ref="E121">IF($B121="","",IFERROR(IF(INDEX('01_UngVien_PhongVan'!$D:$D,MATCH($B121,'01_UngVien_PhongVan'!$B:$B,0))=0,"",INDEX('01_UngVien_PhongVan'!$D:$D,MATCH($B121,'01_UngVien_PhongVan'!$B:$B,0))),""))</f>
      </c>
      <c r="F121" s="52">
        <f t="array" ref="F121">IF($B121="","",IFERROR(IF(INDEX('01_UngVien_PhongVan'!$F:$F,MATCH($B121,'01_UngVien_PhongVan'!$B:$B,0))=0,"",INDEX('01_UngVien_PhongVan'!$F:$F,MATCH($B121,'01_UngVien_PhongVan'!$B:$B,0))),""))</f>
      </c>
      <c r="G121" s="72">
        <f t="array" ref="G121">IF($B121="","",IFERROR(IF(INDEX('01_UngVien_PhongVan'!$G:$G,MATCH($B121,'01_UngVien_PhongVan'!$B:$B,0))=0,"",INDEX('01_UngVien_PhongVan'!$G:$G,MATCH($B121,'01_UngVien_PhongVan'!$B:$B,0))),""))</f>
      </c>
      <c r="H121" s="52">
        <f t="array" ref="H121">IF($B121="","",IFERROR(IF(INDEX('01_UngVien_PhongVan'!$H:$H,MATCH($B121,'01_UngVien_PhongVan'!$B:$B,0))=0,"",INDEX('01_UngVien_PhongVan'!$H:$H,MATCH($B121,'01_UngVien_PhongVan'!$B:$B,0))),""))</f>
      </c>
      <c r="I121" s="60">
        <f t="array" ref="I121">IF($B121="","",IFERROR(IF(INDEX('01_UngVien_PhongVan'!$I:$I,MATCH($B121,'01_UngVien_PhongVan'!$B:$B,0))=0,"",INDEX('01_UngVien_PhongVan'!$I:$I,MATCH($B121,'01_UngVien_PhongVan'!$B:$B,0))),""))</f>
      </c>
      <c r="J121" s="60">
        <f t="array" ref="J121">IF($B121="","",IFERROR(IF(INDEX('01_UngVien_PhongVan'!$J:$J,MATCH($B121,'01_UngVien_PhongVan'!$B:$B,0))=0,"",INDEX('01_UngVien_PhongVan'!$J:$J,MATCH($B121,'01_UngVien_PhongVan'!$B:$B,0))),""))</f>
      </c>
      <c r="K121" s="73">
        <f t="array" ref="K121">IF($B121="","",IFERROR(IF(INDEX('01_UngVien_PhongVan'!$K:$K,MATCH($B121,'01_UngVien_PhongVan'!$B:$B,0))=0,"",INDEX('01_UngVien_PhongVan'!$K:$K,MATCH($B121,'01_UngVien_PhongVan'!$B:$B,0))),""))</f>
      </c>
      <c r="L121" s="60">
        <f t="array" ref="L121">IF($B121="","",IFERROR(IF(INDEX('01_UngVien_PhongVan'!$L:$L,MATCH($B121,'01_UngVien_PhongVan'!$B:$B,0))=0,"",INDEX('01_UngVien_PhongVan'!$L:$L,MATCH($B121,'01_UngVien_PhongVan'!$B:$B,0))),""))</f>
      </c>
      <c r="M121" s="60">
        <f t="array" ref="M121">IF($B121="","",IFERROR(IF(INDEX('01_UngVien_PhongVan'!$E:$E,MATCH($B121,'01_UngVien_PhongVan'!$B:$B,0))=0,"",INDEX('01_UngVien_PhongVan'!$E:$E,MATCH($B121,'01_UngVien_PhongVan'!$B:$B,0))),""))</f>
      </c>
      <c r="N121" s="60">
        <f t="array" ref="N121">IF($B121="","",IFERROR(IF(INDEX('01_UngVien_PhongVan'!$M:$M,MATCH($B121,'01_UngVien_PhongVan'!$B:$B,0))=0,"",INDEX('01_UngVien_PhongVan'!$M:$M,MATCH($B121,'01_UngVien_PhongVan'!$B:$B,0))),""))</f>
      </c>
      <c r="O121" s="60">
        <f t="array" ref="O121">IF($B121="","",IFERROR(IF(INDEX('01_UngVien_PhongVan'!$N:$N,MATCH($B121,'01_UngVien_PhongVan'!$B:$B,0))=0,"",INDEX('01_UngVien_PhongVan'!$N:$N,MATCH($B121,'01_UngVien_PhongVan'!$B:$B,0))),""))</f>
      </c>
      <c r="P121" s="60">
        <f t="array" ref="P121">IF($B121="","",IFERROR(IF(INDEX('01_UngVien_PhongVan'!$O:$O,MATCH($B121,'01_UngVien_PhongVan'!$B:$B,0))=0,"",INDEX('01_UngVien_PhongVan'!$O:$O,MATCH($B121,'01_UngVien_PhongVan'!$B:$B,0))),""))</f>
      </c>
      <c r="Q121" s="60">
        <f t="array" ref="Q121">IF($B121="","",IFERROR(IF(INDEX('01_UngVien_PhongVan'!$P:$P,MATCH($B121,'01_UngVien_PhongVan'!$B:$B,0))=0,"",INDEX('01_UngVien_PhongVan'!$P:$P,MATCH($B121,'01_UngVien_PhongVan'!$B:$B,0))),""))</f>
      </c>
      <c r="R121" s="60">
        <f t="array" ref="R121">IF($B121="","",IFERROR(IF(INDEX('01_UngVien_PhongVan'!$Q:$Q,MATCH($B121,'01_UngVien_PhongVan'!$B:$B,0))=0,"",INDEX('01_UngVien_PhongVan'!$Q:$Q,MATCH($B121,'01_UngVien_PhongVan'!$B:$B,0))),""))</f>
      </c>
      <c r="S121" s="60">
        <f t="array" ref="S121">IF($B121="","",IFERROR(IF(INDEX('01_UngVien_PhongVan'!$R:$R,MATCH($B121,'01_UngVien_PhongVan'!$B:$B,0))=0,"",INDEX('01_UngVien_PhongVan'!$R:$R,MATCH($B121,'01_UngVien_PhongVan'!$B:$B,0))),""))</f>
      </c>
      <c r="T121" s="60">
        <f t="array" ref="T121">IF($B121="","",IFERROR(IF(INDEX('01_UngVien_PhongVan'!$U:$U,MATCH($B121,'01_UngVien_PhongVan'!$B:$B,0))=0,"",INDEX('01_UngVien_PhongVan'!$U:$U,MATCH($B121,'01_UngVien_PhongVan'!$B:$B,0))),""))</f>
      </c>
      <c r="U121" s="73">
        <f t="array" ref="U121">IF($B121="","",IFERROR(IF(INDEX('01_UngVien_PhongVan'!$C:$C,MATCH($B121,'01_UngVien_PhongVan'!$B:$B,0))=0,"",INDEX('01_UngVien_PhongVan'!$C:$C,MATCH($B121,'01_UngVien_PhongVan'!$B:$B,0))),""))</f>
      </c>
      <c r="V121" s="73">
        <f t="array" ref="V121">IF($B121="","",IFERROR(IF(INDEX('02_DS_Nhan_Viec'!$D:$D,MATCH($B121,'02_DS_Nhan_Viec'!$B:$B,0))=0,"",INDEX('02_DS_Nhan_Viec'!$D:$D,MATCH($B121,'02_DS_Nhan_Viec'!$B:$B,0))),""))</f>
      </c>
      <c r="W121" s="73">
        <f t="array" ref="W121">IF($B121="","",IFERROR(IF(INDEX('02_DS_Nhan_Viec'!$E:$E,MATCH($B121,'02_DS_Nhan_Viec'!$B:$B,0))=0,"",INDEX('02_DS_Nhan_Viec'!$E:$E,MATCH($B121,'02_DS_Nhan_Viec'!$B:$B,0))),""))</f>
      </c>
      <c r="X121" s="73">
        <f t="array" ref="X121">IF($C121="","",IFERROR(IF(INDEX('05_Theo_Doi_Gio_Cong_7_Ngay'!$P:$P,MATCH($C121,'05_Theo_Doi_Gio_Cong_7_Ngay'!$B:$B,0))=0,"",INDEX('05_Theo_Doi_Gio_Cong_7_Ngay'!$P:$P,MATCH($C121,'05_Theo_Doi_Gio_Cong_7_Ngay'!$B:$B,0))),""))</f>
      </c>
      <c r="Y121" s="60">
        <f t="array" ref="Y121">IF($C121="","",IFERROR(IF(INDEX('05_Theo_Doi_Gio_Cong_7_Ngay'!$M:$M,MATCH($C121,'05_Theo_Doi_Gio_Cong_7_Ngay'!$B:$B,0))=0,"",INDEX('05_Theo_Doi_Gio_Cong_7_Ngay'!$M:$M,MATCH($C121,'05_Theo_Doi_Gio_Cong_7_Ngay'!$B:$B,0))),""))</f>
      </c>
      <c r="Z121" s="60">
        <f t="array" ref="Z121">IF($C121="","",IFERROR(IF(INDEX('05_Theo_Doi_Gio_Cong_7_Ngay'!$Q:$Q,MATCH($C121,'05_Theo_Doi_Gio_Cong_7_Ngay'!$B:$B,0))=0,"",INDEX('05_Theo_Doi_Gio_Cong_7_Ngay'!$Q:$Q,MATCH($C121,'05_Theo_Doi_Gio_Cong_7_Ngay'!$B:$B,0))),""))</f>
      </c>
      <c r="AA121" s="60">
        <f t="array" ref="AA121">IF($B121="","",IFERROR(IF(INDEX('02_DS_Nhan_Viec'!$H:$H,MATCH($B121,'02_DS_Nhan_Viec'!$B:$B,0))=0,"",INDEX('02_DS_Nhan_Viec'!$H:$H,MATCH($B121,'02_DS_Nhan_Viec'!$B:$B,0))),""))</f>
      </c>
      <c r="AB121" s="60">
        <f t="array" ref="AB121">IF($B121="","",IFERROR(IF(INDEX('02_DS_Nhan_Viec'!$I:$I,MATCH($B121,'02_DS_Nhan_Viec'!$B:$B,0))=0,"",INDEX('02_DS_Nhan_Viec'!$I:$I,MATCH($B121,'02_DS_Nhan_Viec'!$B:$B,0))),""))</f>
      </c>
      <c r="AC121" s="61">
        <f t="array" ref="AC121">IF($B121="","",IF($C121="","Đang theo dõi",IF(OR(IFERROR(INDEX('05_Theo_Doi_Gio_Cong_7_Ngay'!$R:$R,MATCH($C121,'05_Theo_Doi_Gio_Cong_7_Ngay'!$B:$B,0)),"")="",IFERROR(INDEX('05_Theo_Doi_Gio_Cong_7_Ngay'!$R:$R,MATCH($C121,'05_Theo_Doi_Gio_Cong_7_Ngay'!$B:$B,0)),0)=0),"Đang theo dõi",IFERROR(INDEX('06_DS_Chinh_Thuc'!$K:$K,MATCH(IFERROR(INDEX('05_Theo_Doi_Gio_Cong_7_Ngay'!$R:$R,MATCH($C121,'05_Theo_Doi_Gio_Cong_7_Ngay'!$B:$B,0)),0),'06_DS_Chinh_Thuc'!$B:$B,0)),"Đang theo dõi"))))</f>
      </c>
    </row>
    <row r="122" ht="14.25" customHeight="1" spans="1:29" x14ac:dyDescent="0.25">
      <c r="A122" s="52">
        <f t="shared" si="0"/>
      </c>
      <c r="B122" s="52">
        <f t="array" ref="B122">IFERROR(INDEX('02_DS_Nhan_Viec'!$B:$B,MATCH(121,'02_DS_Nhan_Viec'!$M:$M,0)),"")</f>
      </c>
      <c r="C122" s="52">
        <f t="array" ref="C122">IF($B122="","",IFERROR(IF(INDEX('02_DS_Nhan_Viec'!$J:$J,MATCH($B122,'02_DS_Nhan_Viec'!$B:$B,0))=0,"",INDEX('02_DS_Nhan_Viec'!$J:$J,MATCH($B122,'02_DS_Nhan_Viec'!$B:$B,0))),""))</f>
      </c>
      <c r="D122" s="52">
        <f t="array" ref="D122">IF($C122="","",IFERROR(IF(INDEX('05_Theo_Doi_Gio_Cong_7_Ngay'!$R:$R,MATCH($C122,'05_Theo_Doi_Gio_Cong_7_Ngay'!$B:$B,0))=0,"",INDEX('05_Theo_Doi_Gio_Cong_7_Ngay'!$R:$R,MATCH($C122,'05_Theo_Doi_Gio_Cong_7_Ngay'!$B:$B,0))),""))</f>
      </c>
      <c r="E122" s="60">
        <f t="array" ref="E122">IF($B122="","",IFERROR(IF(INDEX('01_UngVien_PhongVan'!$D:$D,MATCH($B122,'01_UngVien_PhongVan'!$B:$B,0))=0,"",INDEX('01_UngVien_PhongVan'!$D:$D,MATCH($B122,'01_UngVien_PhongVan'!$B:$B,0))),""))</f>
      </c>
      <c r="F122" s="52">
        <f t="array" ref="F122">IF($B122="","",IFERROR(IF(INDEX('01_UngVien_PhongVan'!$F:$F,MATCH($B122,'01_UngVien_PhongVan'!$B:$B,0))=0,"",INDEX('01_UngVien_PhongVan'!$F:$F,MATCH($B122,'01_UngVien_PhongVan'!$B:$B,0))),""))</f>
      </c>
      <c r="G122" s="72">
        <f t="array" ref="G122">IF($B122="","",IFERROR(IF(INDEX('01_UngVien_PhongVan'!$G:$G,MATCH($B122,'01_UngVien_PhongVan'!$B:$B,0))=0,"",INDEX('01_UngVien_PhongVan'!$G:$G,MATCH($B122,'01_UngVien_PhongVan'!$B:$B,0))),""))</f>
      </c>
      <c r="H122" s="52">
        <f t="array" ref="H122">IF($B122="","",IFERROR(IF(INDEX('01_UngVien_PhongVan'!$H:$H,MATCH($B122,'01_UngVien_PhongVan'!$B:$B,0))=0,"",INDEX('01_UngVien_PhongVan'!$H:$H,MATCH($B122,'01_UngVien_PhongVan'!$B:$B,0))),""))</f>
      </c>
      <c r="I122" s="60">
        <f t="array" ref="I122">IF($B122="","",IFERROR(IF(INDEX('01_UngVien_PhongVan'!$I:$I,MATCH($B122,'01_UngVien_PhongVan'!$B:$B,0))=0,"",INDEX('01_UngVien_PhongVan'!$I:$I,MATCH($B122,'01_UngVien_PhongVan'!$B:$B,0))),""))</f>
      </c>
      <c r="J122" s="60">
        <f t="array" ref="J122">IF($B122="","",IFERROR(IF(INDEX('01_UngVien_PhongVan'!$J:$J,MATCH($B122,'01_UngVien_PhongVan'!$B:$B,0))=0,"",INDEX('01_UngVien_PhongVan'!$J:$J,MATCH($B122,'01_UngVien_PhongVan'!$B:$B,0))),""))</f>
      </c>
      <c r="K122" s="73">
        <f t="array" ref="K122">IF($B122="","",IFERROR(IF(INDEX('01_UngVien_PhongVan'!$K:$K,MATCH($B122,'01_UngVien_PhongVan'!$B:$B,0))=0,"",INDEX('01_UngVien_PhongVan'!$K:$K,MATCH($B122,'01_UngVien_PhongVan'!$B:$B,0))),""))</f>
      </c>
      <c r="L122" s="60">
        <f t="array" ref="L122">IF($B122="","",IFERROR(IF(INDEX('01_UngVien_PhongVan'!$L:$L,MATCH($B122,'01_UngVien_PhongVan'!$B:$B,0))=0,"",INDEX('01_UngVien_PhongVan'!$L:$L,MATCH($B122,'01_UngVien_PhongVan'!$B:$B,0))),""))</f>
      </c>
      <c r="M122" s="60">
        <f t="array" ref="M122">IF($B122="","",IFERROR(IF(INDEX('01_UngVien_PhongVan'!$E:$E,MATCH($B122,'01_UngVien_PhongVan'!$B:$B,0))=0,"",INDEX('01_UngVien_PhongVan'!$E:$E,MATCH($B122,'01_UngVien_PhongVan'!$B:$B,0))),""))</f>
      </c>
      <c r="N122" s="60">
        <f t="array" ref="N122">IF($B122="","",IFERROR(IF(INDEX('01_UngVien_PhongVan'!$M:$M,MATCH($B122,'01_UngVien_PhongVan'!$B:$B,0))=0,"",INDEX('01_UngVien_PhongVan'!$M:$M,MATCH($B122,'01_UngVien_PhongVan'!$B:$B,0))),""))</f>
      </c>
      <c r="O122" s="60">
        <f t="array" ref="O122">IF($B122="","",IFERROR(IF(INDEX('01_UngVien_PhongVan'!$N:$N,MATCH($B122,'01_UngVien_PhongVan'!$B:$B,0))=0,"",INDEX('01_UngVien_PhongVan'!$N:$N,MATCH($B122,'01_UngVien_PhongVan'!$B:$B,0))),""))</f>
      </c>
      <c r="P122" s="60">
        <f t="array" ref="P122">IF($B122="","",IFERROR(IF(INDEX('01_UngVien_PhongVan'!$O:$O,MATCH($B122,'01_UngVien_PhongVan'!$B:$B,0))=0,"",INDEX('01_UngVien_PhongVan'!$O:$O,MATCH($B122,'01_UngVien_PhongVan'!$B:$B,0))),""))</f>
      </c>
      <c r="Q122" s="60">
        <f t="array" ref="Q122">IF($B122="","",IFERROR(IF(INDEX('01_UngVien_PhongVan'!$P:$P,MATCH($B122,'01_UngVien_PhongVan'!$B:$B,0))=0,"",INDEX('01_UngVien_PhongVan'!$P:$P,MATCH($B122,'01_UngVien_PhongVan'!$B:$B,0))),""))</f>
      </c>
      <c r="R122" s="60">
        <f t="array" ref="R122">IF($B122="","",IFERROR(IF(INDEX('01_UngVien_PhongVan'!$Q:$Q,MATCH($B122,'01_UngVien_PhongVan'!$B:$B,0))=0,"",INDEX('01_UngVien_PhongVan'!$Q:$Q,MATCH($B122,'01_UngVien_PhongVan'!$B:$B,0))),""))</f>
      </c>
      <c r="S122" s="60">
        <f t="array" ref="S122">IF($B122="","",IFERROR(IF(INDEX('01_UngVien_PhongVan'!$R:$R,MATCH($B122,'01_UngVien_PhongVan'!$B:$B,0))=0,"",INDEX('01_UngVien_PhongVan'!$R:$R,MATCH($B122,'01_UngVien_PhongVan'!$B:$B,0))),""))</f>
      </c>
      <c r="T122" s="60">
        <f t="array" ref="T122">IF($B122="","",IFERROR(IF(INDEX('01_UngVien_PhongVan'!$U:$U,MATCH($B122,'01_UngVien_PhongVan'!$B:$B,0))=0,"",INDEX('01_UngVien_PhongVan'!$U:$U,MATCH($B122,'01_UngVien_PhongVan'!$B:$B,0))),""))</f>
      </c>
      <c r="U122" s="73">
        <f t="array" ref="U122">IF($B122="","",IFERROR(IF(INDEX('01_UngVien_PhongVan'!$C:$C,MATCH($B122,'01_UngVien_PhongVan'!$B:$B,0))=0,"",INDEX('01_UngVien_PhongVan'!$C:$C,MATCH($B122,'01_UngVien_PhongVan'!$B:$B,0))),""))</f>
      </c>
      <c r="V122" s="73">
        <f t="array" ref="V122">IF($B122="","",IFERROR(IF(INDEX('02_DS_Nhan_Viec'!$D:$D,MATCH($B122,'02_DS_Nhan_Viec'!$B:$B,0))=0,"",INDEX('02_DS_Nhan_Viec'!$D:$D,MATCH($B122,'02_DS_Nhan_Viec'!$B:$B,0))),""))</f>
      </c>
      <c r="W122" s="73">
        <f t="array" ref="W122">IF($B122="","",IFERROR(IF(INDEX('02_DS_Nhan_Viec'!$E:$E,MATCH($B122,'02_DS_Nhan_Viec'!$B:$B,0))=0,"",INDEX('02_DS_Nhan_Viec'!$E:$E,MATCH($B122,'02_DS_Nhan_Viec'!$B:$B,0))),""))</f>
      </c>
      <c r="X122" s="73">
        <f t="array" ref="X122">IF($C122="","",IFERROR(IF(INDEX('05_Theo_Doi_Gio_Cong_7_Ngay'!$P:$P,MATCH($C122,'05_Theo_Doi_Gio_Cong_7_Ngay'!$B:$B,0))=0,"",INDEX('05_Theo_Doi_Gio_Cong_7_Ngay'!$P:$P,MATCH($C122,'05_Theo_Doi_Gio_Cong_7_Ngay'!$B:$B,0))),""))</f>
      </c>
      <c r="Y122" s="60">
        <f t="array" ref="Y122">IF($C122="","",IFERROR(IF(INDEX('05_Theo_Doi_Gio_Cong_7_Ngay'!$M:$M,MATCH($C122,'05_Theo_Doi_Gio_Cong_7_Ngay'!$B:$B,0))=0,"",INDEX('05_Theo_Doi_Gio_Cong_7_Ngay'!$M:$M,MATCH($C122,'05_Theo_Doi_Gio_Cong_7_Ngay'!$B:$B,0))),""))</f>
      </c>
      <c r="Z122" s="60">
        <f t="array" ref="Z122">IF($C122="","",IFERROR(IF(INDEX('05_Theo_Doi_Gio_Cong_7_Ngay'!$Q:$Q,MATCH($C122,'05_Theo_Doi_Gio_Cong_7_Ngay'!$B:$B,0))=0,"",INDEX('05_Theo_Doi_Gio_Cong_7_Ngay'!$Q:$Q,MATCH($C122,'05_Theo_Doi_Gio_Cong_7_Ngay'!$B:$B,0))),""))</f>
      </c>
      <c r="AA122" s="60">
        <f t="array" ref="AA122">IF($B122="","",IFERROR(IF(INDEX('02_DS_Nhan_Viec'!$H:$H,MATCH($B122,'02_DS_Nhan_Viec'!$B:$B,0))=0,"",INDEX('02_DS_Nhan_Viec'!$H:$H,MATCH($B122,'02_DS_Nhan_Viec'!$B:$B,0))),""))</f>
      </c>
      <c r="AB122" s="60">
        <f t="array" ref="AB122">IF($B122="","",IFERROR(IF(INDEX('02_DS_Nhan_Viec'!$I:$I,MATCH($B122,'02_DS_Nhan_Viec'!$B:$B,0))=0,"",INDEX('02_DS_Nhan_Viec'!$I:$I,MATCH($B122,'02_DS_Nhan_Viec'!$B:$B,0))),""))</f>
      </c>
      <c r="AC122" s="61">
        <f t="array" ref="AC122">IF($B122="","",IF($C122="","Đang theo dõi",IF(OR(IFERROR(INDEX('05_Theo_Doi_Gio_Cong_7_Ngay'!$R:$R,MATCH($C122,'05_Theo_Doi_Gio_Cong_7_Ngay'!$B:$B,0)),"")="",IFERROR(INDEX('05_Theo_Doi_Gio_Cong_7_Ngay'!$R:$R,MATCH($C122,'05_Theo_Doi_Gio_Cong_7_Ngay'!$B:$B,0)),0)=0),"Đang theo dõi",IFERROR(INDEX('06_DS_Chinh_Thuc'!$K:$K,MATCH(IFERROR(INDEX('05_Theo_Doi_Gio_Cong_7_Ngay'!$R:$R,MATCH($C122,'05_Theo_Doi_Gio_Cong_7_Ngay'!$B:$B,0)),0),'06_DS_Chinh_Thuc'!$B:$B,0)),"Đang theo dõi"))))</f>
      </c>
    </row>
    <row r="123" ht="14.25" customHeight="1" spans="1:29" x14ac:dyDescent="0.25">
      <c r="A123" s="52">
        <f t="shared" si="0"/>
      </c>
      <c r="B123" s="52">
        <f t="array" ref="B123">IFERROR(INDEX('02_DS_Nhan_Viec'!$B:$B,MATCH(122,'02_DS_Nhan_Viec'!$M:$M,0)),"")</f>
      </c>
      <c r="C123" s="52">
        <f t="array" ref="C123">IF($B123="","",IFERROR(IF(INDEX('02_DS_Nhan_Viec'!$J:$J,MATCH($B123,'02_DS_Nhan_Viec'!$B:$B,0))=0,"",INDEX('02_DS_Nhan_Viec'!$J:$J,MATCH($B123,'02_DS_Nhan_Viec'!$B:$B,0))),""))</f>
      </c>
      <c r="D123" s="52">
        <f t="array" ref="D123">IF($C123="","",IFERROR(IF(INDEX('05_Theo_Doi_Gio_Cong_7_Ngay'!$R:$R,MATCH($C123,'05_Theo_Doi_Gio_Cong_7_Ngay'!$B:$B,0))=0,"",INDEX('05_Theo_Doi_Gio_Cong_7_Ngay'!$R:$R,MATCH($C123,'05_Theo_Doi_Gio_Cong_7_Ngay'!$B:$B,0))),""))</f>
      </c>
      <c r="E123" s="60">
        <f t="array" ref="E123">IF($B123="","",IFERROR(IF(INDEX('01_UngVien_PhongVan'!$D:$D,MATCH($B123,'01_UngVien_PhongVan'!$B:$B,0))=0,"",INDEX('01_UngVien_PhongVan'!$D:$D,MATCH($B123,'01_UngVien_PhongVan'!$B:$B,0))),""))</f>
      </c>
      <c r="F123" s="52">
        <f t="array" ref="F123">IF($B123="","",IFERROR(IF(INDEX('01_UngVien_PhongVan'!$F:$F,MATCH($B123,'01_UngVien_PhongVan'!$B:$B,0))=0,"",INDEX('01_UngVien_PhongVan'!$F:$F,MATCH($B123,'01_UngVien_PhongVan'!$B:$B,0))),""))</f>
      </c>
      <c r="G123" s="72">
        <f t="array" ref="G123">IF($B123="","",IFERROR(IF(INDEX('01_UngVien_PhongVan'!$G:$G,MATCH($B123,'01_UngVien_PhongVan'!$B:$B,0))=0,"",INDEX('01_UngVien_PhongVan'!$G:$G,MATCH($B123,'01_UngVien_PhongVan'!$B:$B,0))),""))</f>
      </c>
      <c r="H123" s="52">
        <f t="array" ref="H123">IF($B123="","",IFERROR(IF(INDEX('01_UngVien_PhongVan'!$H:$H,MATCH($B123,'01_UngVien_PhongVan'!$B:$B,0))=0,"",INDEX('01_UngVien_PhongVan'!$H:$H,MATCH($B123,'01_UngVien_PhongVan'!$B:$B,0))),""))</f>
      </c>
      <c r="I123" s="60">
        <f t="array" ref="I123">IF($B123="","",IFERROR(IF(INDEX('01_UngVien_PhongVan'!$I:$I,MATCH($B123,'01_UngVien_PhongVan'!$B:$B,0))=0,"",INDEX('01_UngVien_PhongVan'!$I:$I,MATCH($B123,'01_UngVien_PhongVan'!$B:$B,0))),""))</f>
      </c>
      <c r="J123" s="60">
        <f t="array" ref="J123">IF($B123="","",IFERROR(IF(INDEX('01_UngVien_PhongVan'!$J:$J,MATCH($B123,'01_UngVien_PhongVan'!$B:$B,0))=0,"",INDEX('01_UngVien_PhongVan'!$J:$J,MATCH($B123,'01_UngVien_PhongVan'!$B:$B,0))),""))</f>
      </c>
      <c r="K123" s="73">
        <f t="array" ref="K123">IF($B123="","",IFERROR(IF(INDEX('01_UngVien_PhongVan'!$K:$K,MATCH($B123,'01_UngVien_PhongVan'!$B:$B,0))=0,"",INDEX('01_UngVien_PhongVan'!$K:$K,MATCH($B123,'01_UngVien_PhongVan'!$B:$B,0))),""))</f>
      </c>
      <c r="L123" s="60">
        <f t="array" ref="L123">IF($B123="","",IFERROR(IF(INDEX('01_UngVien_PhongVan'!$L:$L,MATCH($B123,'01_UngVien_PhongVan'!$B:$B,0))=0,"",INDEX('01_UngVien_PhongVan'!$L:$L,MATCH($B123,'01_UngVien_PhongVan'!$B:$B,0))),""))</f>
      </c>
      <c r="M123" s="60">
        <f t="array" ref="M123">IF($B123="","",IFERROR(IF(INDEX('01_UngVien_PhongVan'!$E:$E,MATCH($B123,'01_UngVien_PhongVan'!$B:$B,0))=0,"",INDEX('01_UngVien_PhongVan'!$E:$E,MATCH($B123,'01_UngVien_PhongVan'!$B:$B,0))),""))</f>
      </c>
      <c r="N123" s="60">
        <f t="array" ref="N123">IF($B123="","",IFERROR(IF(INDEX('01_UngVien_PhongVan'!$M:$M,MATCH($B123,'01_UngVien_PhongVan'!$B:$B,0))=0,"",INDEX('01_UngVien_PhongVan'!$M:$M,MATCH($B123,'01_UngVien_PhongVan'!$B:$B,0))),""))</f>
      </c>
      <c r="O123" s="60">
        <f t="array" ref="O123">IF($B123="","",IFERROR(IF(INDEX('01_UngVien_PhongVan'!$N:$N,MATCH($B123,'01_UngVien_PhongVan'!$B:$B,0))=0,"",INDEX('01_UngVien_PhongVan'!$N:$N,MATCH($B123,'01_UngVien_PhongVan'!$B:$B,0))),""))</f>
      </c>
      <c r="P123" s="60">
        <f t="array" ref="P123">IF($B123="","",IFERROR(IF(INDEX('01_UngVien_PhongVan'!$O:$O,MATCH($B123,'01_UngVien_PhongVan'!$B:$B,0))=0,"",INDEX('01_UngVien_PhongVan'!$O:$O,MATCH($B123,'01_UngVien_PhongVan'!$B:$B,0))),""))</f>
      </c>
      <c r="Q123" s="60">
        <f t="array" ref="Q123">IF($B123="","",IFERROR(IF(INDEX('01_UngVien_PhongVan'!$P:$P,MATCH($B123,'01_UngVien_PhongVan'!$B:$B,0))=0,"",INDEX('01_UngVien_PhongVan'!$P:$P,MATCH($B123,'01_UngVien_PhongVan'!$B:$B,0))),""))</f>
      </c>
      <c r="R123" s="60">
        <f t="array" ref="R123">IF($B123="","",IFERROR(IF(INDEX('01_UngVien_PhongVan'!$Q:$Q,MATCH($B123,'01_UngVien_PhongVan'!$B:$B,0))=0,"",INDEX('01_UngVien_PhongVan'!$Q:$Q,MATCH($B123,'01_UngVien_PhongVan'!$B:$B,0))),""))</f>
      </c>
      <c r="S123" s="60">
        <f t="array" ref="S123">IF($B123="","",IFERROR(IF(INDEX('01_UngVien_PhongVan'!$R:$R,MATCH($B123,'01_UngVien_PhongVan'!$B:$B,0))=0,"",INDEX('01_UngVien_PhongVan'!$R:$R,MATCH($B123,'01_UngVien_PhongVan'!$B:$B,0))),""))</f>
      </c>
      <c r="T123" s="60">
        <f t="array" ref="T123">IF($B123="","",IFERROR(IF(INDEX('01_UngVien_PhongVan'!$U:$U,MATCH($B123,'01_UngVien_PhongVan'!$B:$B,0))=0,"",INDEX('01_UngVien_PhongVan'!$U:$U,MATCH($B123,'01_UngVien_PhongVan'!$B:$B,0))),""))</f>
      </c>
      <c r="U123" s="73">
        <f t="array" ref="U123">IF($B123="","",IFERROR(IF(INDEX('01_UngVien_PhongVan'!$C:$C,MATCH($B123,'01_UngVien_PhongVan'!$B:$B,0))=0,"",INDEX('01_UngVien_PhongVan'!$C:$C,MATCH($B123,'01_UngVien_PhongVan'!$B:$B,0))),""))</f>
      </c>
      <c r="V123" s="73">
        <f t="array" ref="V123">IF($B123="","",IFERROR(IF(INDEX('02_DS_Nhan_Viec'!$D:$D,MATCH($B123,'02_DS_Nhan_Viec'!$B:$B,0))=0,"",INDEX('02_DS_Nhan_Viec'!$D:$D,MATCH($B123,'02_DS_Nhan_Viec'!$B:$B,0))),""))</f>
      </c>
      <c r="W123" s="73">
        <f t="array" ref="W123">IF($B123="","",IFERROR(IF(INDEX('02_DS_Nhan_Viec'!$E:$E,MATCH($B123,'02_DS_Nhan_Viec'!$B:$B,0))=0,"",INDEX('02_DS_Nhan_Viec'!$E:$E,MATCH($B123,'02_DS_Nhan_Viec'!$B:$B,0))),""))</f>
      </c>
      <c r="X123" s="73">
        <f t="array" ref="X123">IF($C123="","",IFERROR(IF(INDEX('05_Theo_Doi_Gio_Cong_7_Ngay'!$P:$P,MATCH($C123,'05_Theo_Doi_Gio_Cong_7_Ngay'!$B:$B,0))=0,"",INDEX('05_Theo_Doi_Gio_Cong_7_Ngay'!$P:$P,MATCH($C123,'05_Theo_Doi_Gio_Cong_7_Ngay'!$B:$B,0))),""))</f>
      </c>
      <c r="Y123" s="60">
        <f t="array" ref="Y123">IF($C123="","",IFERROR(IF(INDEX('05_Theo_Doi_Gio_Cong_7_Ngay'!$M:$M,MATCH($C123,'05_Theo_Doi_Gio_Cong_7_Ngay'!$B:$B,0))=0,"",INDEX('05_Theo_Doi_Gio_Cong_7_Ngay'!$M:$M,MATCH($C123,'05_Theo_Doi_Gio_Cong_7_Ngay'!$B:$B,0))),""))</f>
      </c>
      <c r="Z123" s="60">
        <f t="array" ref="Z123">IF($C123="","",IFERROR(IF(INDEX('05_Theo_Doi_Gio_Cong_7_Ngay'!$Q:$Q,MATCH($C123,'05_Theo_Doi_Gio_Cong_7_Ngay'!$B:$B,0))=0,"",INDEX('05_Theo_Doi_Gio_Cong_7_Ngay'!$Q:$Q,MATCH($C123,'05_Theo_Doi_Gio_Cong_7_Ngay'!$B:$B,0))),""))</f>
      </c>
      <c r="AA123" s="60">
        <f t="array" ref="AA123">IF($B123="","",IFERROR(IF(INDEX('02_DS_Nhan_Viec'!$H:$H,MATCH($B123,'02_DS_Nhan_Viec'!$B:$B,0))=0,"",INDEX('02_DS_Nhan_Viec'!$H:$H,MATCH($B123,'02_DS_Nhan_Viec'!$B:$B,0))),""))</f>
      </c>
      <c r="AB123" s="60">
        <f t="array" ref="AB123">IF($B123="","",IFERROR(IF(INDEX('02_DS_Nhan_Viec'!$I:$I,MATCH($B123,'02_DS_Nhan_Viec'!$B:$B,0))=0,"",INDEX('02_DS_Nhan_Viec'!$I:$I,MATCH($B123,'02_DS_Nhan_Viec'!$B:$B,0))),""))</f>
      </c>
      <c r="AC123" s="61">
        <f t="array" ref="AC123">IF($B123="","",IF($C123="","Đang theo dõi",IF(OR(IFERROR(INDEX('05_Theo_Doi_Gio_Cong_7_Ngay'!$R:$R,MATCH($C123,'05_Theo_Doi_Gio_Cong_7_Ngay'!$B:$B,0)),"")="",IFERROR(INDEX('05_Theo_Doi_Gio_Cong_7_Ngay'!$R:$R,MATCH($C123,'05_Theo_Doi_Gio_Cong_7_Ngay'!$B:$B,0)),0)=0),"Đang theo dõi",IFERROR(INDEX('06_DS_Chinh_Thuc'!$K:$K,MATCH(IFERROR(INDEX('05_Theo_Doi_Gio_Cong_7_Ngay'!$R:$R,MATCH($C123,'05_Theo_Doi_Gio_Cong_7_Ngay'!$B:$B,0)),0),'06_DS_Chinh_Thuc'!$B:$B,0)),"Đang theo dõi"))))</f>
      </c>
    </row>
    <row r="124" ht="14.25" customHeight="1" spans="1:29" x14ac:dyDescent="0.25">
      <c r="A124" s="52">
        <f t="shared" si="0"/>
      </c>
      <c r="B124" s="52">
        <f t="array" ref="B124">IFERROR(INDEX('02_DS_Nhan_Viec'!$B:$B,MATCH(123,'02_DS_Nhan_Viec'!$M:$M,0)),"")</f>
      </c>
      <c r="C124" s="52">
        <f t="array" ref="C124">IF($B124="","",IFERROR(IF(INDEX('02_DS_Nhan_Viec'!$J:$J,MATCH($B124,'02_DS_Nhan_Viec'!$B:$B,0))=0,"",INDEX('02_DS_Nhan_Viec'!$J:$J,MATCH($B124,'02_DS_Nhan_Viec'!$B:$B,0))),""))</f>
      </c>
      <c r="D124" s="52">
        <f t="array" ref="D124">IF($C124="","",IFERROR(IF(INDEX('05_Theo_Doi_Gio_Cong_7_Ngay'!$R:$R,MATCH($C124,'05_Theo_Doi_Gio_Cong_7_Ngay'!$B:$B,0))=0,"",INDEX('05_Theo_Doi_Gio_Cong_7_Ngay'!$R:$R,MATCH($C124,'05_Theo_Doi_Gio_Cong_7_Ngay'!$B:$B,0))),""))</f>
      </c>
      <c r="E124" s="60">
        <f t="array" ref="E124">IF($B124="","",IFERROR(IF(INDEX('01_UngVien_PhongVan'!$D:$D,MATCH($B124,'01_UngVien_PhongVan'!$B:$B,0))=0,"",INDEX('01_UngVien_PhongVan'!$D:$D,MATCH($B124,'01_UngVien_PhongVan'!$B:$B,0))),""))</f>
      </c>
      <c r="F124" s="52">
        <f t="array" ref="F124">IF($B124="","",IFERROR(IF(INDEX('01_UngVien_PhongVan'!$F:$F,MATCH($B124,'01_UngVien_PhongVan'!$B:$B,0))=0,"",INDEX('01_UngVien_PhongVan'!$F:$F,MATCH($B124,'01_UngVien_PhongVan'!$B:$B,0))),""))</f>
      </c>
      <c r="G124" s="72">
        <f t="array" ref="G124">IF($B124="","",IFERROR(IF(INDEX('01_UngVien_PhongVan'!$G:$G,MATCH($B124,'01_UngVien_PhongVan'!$B:$B,0))=0,"",INDEX('01_UngVien_PhongVan'!$G:$G,MATCH($B124,'01_UngVien_PhongVan'!$B:$B,0))),""))</f>
      </c>
      <c r="H124" s="52">
        <f t="array" ref="H124">IF($B124="","",IFERROR(IF(INDEX('01_UngVien_PhongVan'!$H:$H,MATCH($B124,'01_UngVien_PhongVan'!$B:$B,0))=0,"",INDEX('01_UngVien_PhongVan'!$H:$H,MATCH($B124,'01_UngVien_PhongVan'!$B:$B,0))),""))</f>
      </c>
      <c r="I124" s="60">
        <f t="array" ref="I124">IF($B124="","",IFERROR(IF(INDEX('01_UngVien_PhongVan'!$I:$I,MATCH($B124,'01_UngVien_PhongVan'!$B:$B,0))=0,"",INDEX('01_UngVien_PhongVan'!$I:$I,MATCH($B124,'01_UngVien_PhongVan'!$B:$B,0))),""))</f>
      </c>
      <c r="J124" s="60">
        <f t="array" ref="J124">IF($B124="","",IFERROR(IF(INDEX('01_UngVien_PhongVan'!$J:$J,MATCH($B124,'01_UngVien_PhongVan'!$B:$B,0))=0,"",INDEX('01_UngVien_PhongVan'!$J:$J,MATCH($B124,'01_UngVien_PhongVan'!$B:$B,0))),""))</f>
      </c>
      <c r="K124" s="73">
        <f t="array" ref="K124">IF($B124="","",IFERROR(IF(INDEX('01_UngVien_PhongVan'!$K:$K,MATCH($B124,'01_UngVien_PhongVan'!$B:$B,0))=0,"",INDEX('01_UngVien_PhongVan'!$K:$K,MATCH($B124,'01_UngVien_PhongVan'!$B:$B,0))),""))</f>
      </c>
      <c r="L124" s="60">
        <f t="array" ref="L124">IF($B124="","",IFERROR(IF(INDEX('01_UngVien_PhongVan'!$L:$L,MATCH($B124,'01_UngVien_PhongVan'!$B:$B,0))=0,"",INDEX('01_UngVien_PhongVan'!$L:$L,MATCH($B124,'01_UngVien_PhongVan'!$B:$B,0))),""))</f>
      </c>
      <c r="M124" s="60">
        <f t="array" ref="M124">IF($B124="","",IFERROR(IF(INDEX('01_UngVien_PhongVan'!$E:$E,MATCH($B124,'01_UngVien_PhongVan'!$B:$B,0))=0,"",INDEX('01_UngVien_PhongVan'!$E:$E,MATCH($B124,'01_UngVien_PhongVan'!$B:$B,0))),""))</f>
      </c>
      <c r="N124" s="60">
        <f t="array" ref="N124">IF($B124="","",IFERROR(IF(INDEX('01_UngVien_PhongVan'!$M:$M,MATCH($B124,'01_UngVien_PhongVan'!$B:$B,0))=0,"",INDEX('01_UngVien_PhongVan'!$M:$M,MATCH($B124,'01_UngVien_PhongVan'!$B:$B,0))),""))</f>
      </c>
      <c r="O124" s="60">
        <f t="array" ref="O124">IF($B124="","",IFERROR(IF(INDEX('01_UngVien_PhongVan'!$N:$N,MATCH($B124,'01_UngVien_PhongVan'!$B:$B,0))=0,"",INDEX('01_UngVien_PhongVan'!$N:$N,MATCH($B124,'01_UngVien_PhongVan'!$B:$B,0))),""))</f>
      </c>
      <c r="P124" s="60">
        <f t="array" ref="P124">IF($B124="","",IFERROR(IF(INDEX('01_UngVien_PhongVan'!$O:$O,MATCH($B124,'01_UngVien_PhongVan'!$B:$B,0))=0,"",INDEX('01_UngVien_PhongVan'!$O:$O,MATCH($B124,'01_UngVien_PhongVan'!$B:$B,0))),""))</f>
      </c>
      <c r="Q124" s="60">
        <f t="array" ref="Q124">IF($B124="","",IFERROR(IF(INDEX('01_UngVien_PhongVan'!$P:$P,MATCH($B124,'01_UngVien_PhongVan'!$B:$B,0))=0,"",INDEX('01_UngVien_PhongVan'!$P:$P,MATCH($B124,'01_UngVien_PhongVan'!$B:$B,0))),""))</f>
      </c>
      <c r="R124" s="60">
        <f t="array" ref="R124">IF($B124="","",IFERROR(IF(INDEX('01_UngVien_PhongVan'!$Q:$Q,MATCH($B124,'01_UngVien_PhongVan'!$B:$B,0))=0,"",INDEX('01_UngVien_PhongVan'!$Q:$Q,MATCH($B124,'01_UngVien_PhongVan'!$B:$B,0))),""))</f>
      </c>
      <c r="S124" s="60">
        <f t="array" ref="S124">IF($B124="","",IFERROR(IF(INDEX('01_UngVien_PhongVan'!$R:$R,MATCH($B124,'01_UngVien_PhongVan'!$B:$B,0))=0,"",INDEX('01_UngVien_PhongVan'!$R:$R,MATCH($B124,'01_UngVien_PhongVan'!$B:$B,0))),""))</f>
      </c>
      <c r="T124" s="60">
        <f t="array" ref="T124">IF($B124="","",IFERROR(IF(INDEX('01_UngVien_PhongVan'!$U:$U,MATCH($B124,'01_UngVien_PhongVan'!$B:$B,0))=0,"",INDEX('01_UngVien_PhongVan'!$U:$U,MATCH($B124,'01_UngVien_PhongVan'!$B:$B,0))),""))</f>
      </c>
      <c r="U124" s="73">
        <f t="array" ref="U124">IF($B124="","",IFERROR(IF(INDEX('01_UngVien_PhongVan'!$C:$C,MATCH($B124,'01_UngVien_PhongVan'!$B:$B,0))=0,"",INDEX('01_UngVien_PhongVan'!$C:$C,MATCH($B124,'01_UngVien_PhongVan'!$B:$B,0))),""))</f>
      </c>
      <c r="V124" s="73">
        <f t="array" ref="V124">IF($B124="","",IFERROR(IF(INDEX('02_DS_Nhan_Viec'!$D:$D,MATCH($B124,'02_DS_Nhan_Viec'!$B:$B,0))=0,"",INDEX('02_DS_Nhan_Viec'!$D:$D,MATCH($B124,'02_DS_Nhan_Viec'!$B:$B,0))),""))</f>
      </c>
      <c r="W124" s="73">
        <f t="array" ref="W124">IF($B124="","",IFERROR(IF(INDEX('02_DS_Nhan_Viec'!$E:$E,MATCH($B124,'02_DS_Nhan_Viec'!$B:$B,0))=0,"",INDEX('02_DS_Nhan_Viec'!$E:$E,MATCH($B124,'02_DS_Nhan_Viec'!$B:$B,0))),""))</f>
      </c>
      <c r="X124" s="73">
        <f t="array" ref="X124">IF($C124="","",IFERROR(IF(INDEX('05_Theo_Doi_Gio_Cong_7_Ngay'!$P:$P,MATCH($C124,'05_Theo_Doi_Gio_Cong_7_Ngay'!$B:$B,0))=0,"",INDEX('05_Theo_Doi_Gio_Cong_7_Ngay'!$P:$P,MATCH($C124,'05_Theo_Doi_Gio_Cong_7_Ngay'!$B:$B,0))),""))</f>
      </c>
      <c r="Y124" s="60">
        <f t="array" ref="Y124">IF($C124="","",IFERROR(IF(INDEX('05_Theo_Doi_Gio_Cong_7_Ngay'!$M:$M,MATCH($C124,'05_Theo_Doi_Gio_Cong_7_Ngay'!$B:$B,0))=0,"",INDEX('05_Theo_Doi_Gio_Cong_7_Ngay'!$M:$M,MATCH($C124,'05_Theo_Doi_Gio_Cong_7_Ngay'!$B:$B,0))),""))</f>
      </c>
      <c r="Z124" s="60">
        <f t="array" ref="Z124">IF($C124="","",IFERROR(IF(INDEX('05_Theo_Doi_Gio_Cong_7_Ngay'!$Q:$Q,MATCH($C124,'05_Theo_Doi_Gio_Cong_7_Ngay'!$B:$B,0))=0,"",INDEX('05_Theo_Doi_Gio_Cong_7_Ngay'!$Q:$Q,MATCH($C124,'05_Theo_Doi_Gio_Cong_7_Ngay'!$B:$B,0))),""))</f>
      </c>
      <c r="AA124" s="60">
        <f t="array" ref="AA124">IF($B124="","",IFERROR(IF(INDEX('02_DS_Nhan_Viec'!$H:$H,MATCH($B124,'02_DS_Nhan_Viec'!$B:$B,0))=0,"",INDEX('02_DS_Nhan_Viec'!$H:$H,MATCH($B124,'02_DS_Nhan_Viec'!$B:$B,0))),""))</f>
      </c>
      <c r="AB124" s="60">
        <f t="array" ref="AB124">IF($B124="","",IFERROR(IF(INDEX('02_DS_Nhan_Viec'!$I:$I,MATCH($B124,'02_DS_Nhan_Viec'!$B:$B,0))=0,"",INDEX('02_DS_Nhan_Viec'!$I:$I,MATCH($B124,'02_DS_Nhan_Viec'!$B:$B,0))),""))</f>
      </c>
      <c r="AC124" s="61">
        <f t="array" ref="AC124">IF($B124="","",IF($C124="","Đang theo dõi",IF(OR(IFERROR(INDEX('05_Theo_Doi_Gio_Cong_7_Ngay'!$R:$R,MATCH($C124,'05_Theo_Doi_Gio_Cong_7_Ngay'!$B:$B,0)),"")="",IFERROR(INDEX('05_Theo_Doi_Gio_Cong_7_Ngay'!$R:$R,MATCH($C124,'05_Theo_Doi_Gio_Cong_7_Ngay'!$B:$B,0)),0)=0),"Đang theo dõi",IFERROR(INDEX('06_DS_Chinh_Thuc'!$K:$K,MATCH(IFERROR(INDEX('05_Theo_Doi_Gio_Cong_7_Ngay'!$R:$R,MATCH($C124,'05_Theo_Doi_Gio_Cong_7_Ngay'!$B:$B,0)),0),'06_DS_Chinh_Thuc'!$B:$B,0)),"Đang theo dõi"))))</f>
      </c>
    </row>
    <row r="125" ht="14.25" customHeight="1" spans="1:29" x14ac:dyDescent="0.25">
      <c r="A125" s="52">
        <f t="shared" si="0"/>
      </c>
      <c r="B125" s="52">
        <f t="array" ref="B125">IFERROR(INDEX('02_DS_Nhan_Viec'!$B:$B,MATCH(124,'02_DS_Nhan_Viec'!$M:$M,0)),"")</f>
      </c>
      <c r="C125" s="52">
        <f t="array" ref="C125">IF($B125="","",IFERROR(IF(INDEX('02_DS_Nhan_Viec'!$J:$J,MATCH($B125,'02_DS_Nhan_Viec'!$B:$B,0))=0,"",INDEX('02_DS_Nhan_Viec'!$J:$J,MATCH($B125,'02_DS_Nhan_Viec'!$B:$B,0))),""))</f>
      </c>
      <c r="D125" s="52">
        <f t="array" ref="D125">IF($C125="","",IFERROR(IF(INDEX('05_Theo_Doi_Gio_Cong_7_Ngay'!$R:$R,MATCH($C125,'05_Theo_Doi_Gio_Cong_7_Ngay'!$B:$B,0))=0,"",INDEX('05_Theo_Doi_Gio_Cong_7_Ngay'!$R:$R,MATCH($C125,'05_Theo_Doi_Gio_Cong_7_Ngay'!$B:$B,0))),""))</f>
      </c>
      <c r="E125" s="60">
        <f t="array" ref="E125">IF($B125="","",IFERROR(IF(INDEX('01_UngVien_PhongVan'!$D:$D,MATCH($B125,'01_UngVien_PhongVan'!$B:$B,0))=0,"",INDEX('01_UngVien_PhongVan'!$D:$D,MATCH($B125,'01_UngVien_PhongVan'!$B:$B,0))),""))</f>
      </c>
      <c r="F125" s="52">
        <f t="array" ref="F125">IF($B125="","",IFERROR(IF(INDEX('01_UngVien_PhongVan'!$F:$F,MATCH($B125,'01_UngVien_PhongVan'!$B:$B,0))=0,"",INDEX('01_UngVien_PhongVan'!$F:$F,MATCH($B125,'01_UngVien_PhongVan'!$B:$B,0))),""))</f>
      </c>
      <c r="G125" s="72">
        <f t="array" ref="G125">IF($B125="","",IFERROR(IF(INDEX('01_UngVien_PhongVan'!$G:$G,MATCH($B125,'01_UngVien_PhongVan'!$B:$B,0))=0,"",INDEX('01_UngVien_PhongVan'!$G:$G,MATCH($B125,'01_UngVien_PhongVan'!$B:$B,0))),""))</f>
      </c>
      <c r="H125" s="52">
        <f t="array" ref="H125">IF($B125="","",IFERROR(IF(INDEX('01_UngVien_PhongVan'!$H:$H,MATCH($B125,'01_UngVien_PhongVan'!$B:$B,0))=0,"",INDEX('01_UngVien_PhongVan'!$H:$H,MATCH($B125,'01_UngVien_PhongVan'!$B:$B,0))),""))</f>
      </c>
      <c r="I125" s="60">
        <f t="array" ref="I125">IF($B125="","",IFERROR(IF(INDEX('01_UngVien_PhongVan'!$I:$I,MATCH($B125,'01_UngVien_PhongVan'!$B:$B,0))=0,"",INDEX('01_UngVien_PhongVan'!$I:$I,MATCH($B125,'01_UngVien_PhongVan'!$B:$B,0))),""))</f>
      </c>
      <c r="J125" s="60">
        <f t="array" ref="J125">IF($B125="","",IFERROR(IF(INDEX('01_UngVien_PhongVan'!$J:$J,MATCH($B125,'01_UngVien_PhongVan'!$B:$B,0))=0,"",INDEX('01_UngVien_PhongVan'!$J:$J,MATCH($B125,'01_UngVien_PhongVan'!$B:$B,0))),""))</f>
      </c>
      <c r="K125" s="73">
        <f t="array" ref="K125">IF($B125="","",IFERROR(IF(INDEX('01_UngVien_PhongVan'!$K:$K,MATCH($B125,'01_UngVien_PhongVan'!$B:$B,0))=0,"",INDEX('01_UngVien_PhongVan'!$K:$K,MATCH($B125,'01_UngVien_PhongVan'!$B:$B,0))),""))</f>
      </c>
      <c r="L125" s="60">
        <f t="array" ref="L125">IF($B125="","",IFERROR(IF(INDEX('01_UngVien_PhongVan'!$L:$L,MATCH($B125,'01_UngVien_PhongVan'!$B:$B,0))=0,"",INDEX('01_UngVien_PhongVan'!$L:$L,MATCH($B125,'01_UngVien_PhongVan'!$B:$B,0))),""))</f>
      </c>
      <c r="M125" s="60">
        <f t="array" ref="M125">IF($B125="","",IFERROR(IF(INDEX('01_UngVien_PhongVan'!$E:$E,MATCH($B125,'01_UngVien_PhongVan'!$B:$B,0))=0,"",INDEX('01_UngVien_PhongVan'!$E:$E,MATCH($B125,'01_UngVien_PhongVan'!$B:$B,0))),""))</f>
      </c>
      <c r="N125" s="60">
        <f t="array" ref="N125">IF($B125="","",IFERROR(IF(INDEX('01_UngVien_PhongVan'!$M:$M,MATCH($B125,'01_UngVien_PhongVan'!$B:$B,0))=0,"",INDEX('01_UngVien_PhongVan'!$M:$M,MATCH($B125,'01_UngVien_PhongVan'!$B:$B,0))),""))</f>
      </c>
      <c r="O125" s="60">
        <f t="array" ref="O125">IF($B125="","",IFERROR(IF(INDEX('01_UngVien_PhongVan'!$N:$N,MATCH($B125,'01_UngVien_PhongVan'!$B:$B,0))=0,"",INDEX('01_UngVien_PhongVan'!$N:$N,MATCH($B125,'01_UngVien_PhongVan'!$B:$B,0))),""))</f>
      </c>
      <c r="P125" s="60">
        <f t="array" ref="P125">IF($B125="","",IFERROR(IF(INDEX('01_UngVien_PhongVan'!$O:$O,MATCH($B125,'01_UngVien_PhongVan'!$B:$B,0))=0,"",INDEX('01_UngVien_PhongVan'!$O:$O,MATCH($B125,'01_UngVien_PhongVan'!$B:$B,0))),""))</f>
      </c>
      <c r="Q125" s="60">
        <f t="array" ref="Q125">IF($B125="","",IFERROR(IF(INDEX('01_UngVien_PhongVan'!$P:$P,MATCH($B125,'01_UngVien_PhongVan'!$B:$B,0))=0,"",INDEX('01_UngVien_PhongVan'!$P:$P,MATCH($B125,'01_UngVien_PhongVan'!$B:$B,0))),""))</f>
      </c>
      <c r="R125" s="60">
        <f t="array" ref="R125">IF($B125="","",IFERROR(IF(INDEX('01_UngVien_PhongVan'!$Q:$Q,MATCH($B125,'01_UngVien_PhongVan'!$B:$B,0))=0,"",INDEX('01_UngVien_PhongVan'!$Q:$Q,MATCH($B125,'01_UngVien_PhongVan'!$B:$B,0))),""))</f>
      </c>
      <c r="S125" s="60">
        <f t="array" ref="S125">IF($B125="","",IFERROR(IF(INDEX('01_UngVien_PhongVan'!$R:$R,MATCH($B125,'01_UngVien_PhongVan'!$B:$B,0))=0,"",INDEX('01_UngVien_PhongVan'!$R:$R,MATCH($B125,'01_UngVien_PhongVan'!$B:$B,0))),""))</f>
      </c>
      <c r="T125" s="60">
        <f t="array" ref="T125">IF($B125="","",IFERROR(IF(INDEX('01_UngVien_PhongVan'!$U:$U,MATCH($B125,'01_UngVien_PhongVan'!$B:$B,0))=0,"",INDEX('01_UngVien_PhongVan'!$U:$U,MATCH($B125,'01_UngVien_PhongVan'!$B:$B,0))),""))</f>
      </c>
      <c r="U125" s="73">
        <f t="array" ref="U125">IF($B125="","",IFERROR(IF(INDEX('01_UngVien_PhongVan'!$C:$C,MATCH($B125,'01_UngVien_PhongVan'!$B:$B,0))=0,"",INDEX('01_UngVien_PhongVan'!$C:$C,MATCH($B125,'01_UngVien_PhongVan'!$B:$B,0))),""))</f>
      </c>
      <c r="V125" s="73">
        <f t="array" ref="V125">IF($B125="","",IFERROR(IF(INDEX('02_DS_Nhan_Viec'!$D:$D,MATCH($B125,'02_DS_Nhan_Viec'!$B:$B,0))=0,"",INDEX('02_DS_Nhan_Viec'!$D:$D,MATCH($B125,'02_DS_Nhan_Viec'!$B:$B,0))),""))</f>
      </c>
      <c r="W125" s="73">
        <f t="array" ref="W125">IF($B125="","",IFERROR(IF(INDEX('02_DS_Nhan_Viec'!$E:$E,MATCH($B125,'02_DS_Nhan_Viec'!$B:$B,0))=0,"",INDEX('02_DS_Nhan_Viec'!$E:$E,MATCH($B125,'02_DS_Nhan_Viec'!$B:$B,0))),""))</f>
      </c>
      <c r="X125" s="73">
        <f t="array" ref="X125">IF($C125="","",IFERROR(IF(INDEX('05_Theo_Doi_Gio_Cong_7_Ngay'!$P:$P,MATCH($C125,'05_Theo_Doi_Gio_Cong_7_Ngay'!$B:$B,0))=0,"",INDEX('05_Theo_Doi_Gio_Cong_7_Ngay'!$P:$P,MATCH($C125,'05_Theo_Doi_Gio_Cong_7_Ngay'!$B:$B,0))),""))</f>
      </c>
      <c r="Y125" s="60">
        <f t="array" ref="Y125">IF($C125="","",IFERROR(IF(INDEX('05_Theo_Doi_Gio_Cong_7_Ngay'!$M:$M,MATCH($C125,'05_Theo_Doi_Gio_Cong_7_Ngay'!$B:$B,0))=0,"",INDEX('05_Theo_Doi_Gio_Cong_7_Ngay'!$M:$M,MATCH($C125,'05_Theo_Doi_Gio_Cong_7_Ngay'!$B:$B,0))),""))</f>
      </c>
      <c r="Z125" s="60">
        <f t="array" ref="Z125">IF($C125="","",IFERROR(IF(INDEX('05_Theo_Doi_Gio_Cong_7_Ngay'!$Q:$Q,MATCH($C125,'05_Theo_Doi_Gio_Cong_7_Ngay'!$B:$B,0))=0,"",INDEX('05_Theo_Doi_Gio_Cong_7_Ngay'!$Q:$Q,MATCH($C125,'05_Theo_Doi_Gio_Cong_7_Ngay'!$B:$B,0))),""))</f>
      </c>
      <c r="AA125" s="60">
        <f t="array" ref="AA125">IF($B125="","",IFERROR(IF(INDEX('02_DS_Nhan_Viec'!$H:$H,MATCH($B125,'02_DS_Nhan_Viec'!$B:$B,0))=0,"",INDEX('02_DS_Nhan_Viec'!$H:$H,MATCH($B125,'02_DS_Nhan_Viec'!$B:$B,0))),""))</f>
      </c>
      <c r="AB125" s="60">
        <f t="array" ref="AB125">IF($B125="","",IFERROR(IF(INDEX('02_DS_Nhan_Viec'!$I:$I,MATCH($B125,'02_DS_Nhan_Viec'!$B:$B,0))=0,"",INDEX('02_DS_Nhan_Viec'!$I:$I,MATCH($B125,'02_DS_Nhan_Viec'!$B:$B,0))),""))</f>
      </c>
      <c r="AC125" s="61">
        <f t="array" ref="AC125">IF($B125="","",IF($C125="","Đang theo dõi",IF(OR(IFERROR(INDEX('05_Theo_Doi_Gio_Cong_7_Ngay'!$R:$R,MATCH($C125,'05_Theo_Doi_Gio_Cong_7_Ngay'!$B:$B,0)),"")="",IFERROR(INDEX('05_Theo_Doi_Gio_Cong_7_Ngay'!$R:$R,MATCH($C125,'05_Theo_Doi_Gio_Cong_7_Ngay'!$B:$B,0)),0)=0),"Đang theo dõi",IFERROR(INDEX('06_DS_Chinh_Thuc'!$K:$K,MATCH(IFERROR(INDEX('05_Theo_Doi_Gio_Cong_7_Ngay'!$R:$R,MATCH($C125,'05_Theo_Doi_Gio_Cong_7_Ngay'!$B:$B,0)),0),'06_DS_Chinh_Thuc'!$B:$B,0)),"Đang theo dõi"))))</f>
      </c>
    </row>
    <row r="126" ht="14.25" customHeight="1" spans="1:29" x14ac:dyDescent="0.25">
      <c r="A126" s="52">
        <f t="shared" si="0"/>
      </c>
      <c r="B126" s="52">
        <f t="array" ref="B126">IFERROR(INDEX('02_DS_Nhan_Viec'!$B:$B,MATCH(125,'02_DS_Nhan_Viec'!$M:$M,0)),"")</f>
      </c>
      <c r="C126" s="52">
        <f t="array" ref="C126">IF($B126="","",IFERROR(IF(INDEX('02_DS_Nhan_Viec'!$J:$J,MATCH($B126,'02_DS_Nhan_Viec'!$B:$B,0))=0,"",INDEX('02_DS_Nhan_Viec'!$J:$J,MATCH($B126,'02_DS_Nhan_Viec'!$B:$B,0))),""))</f>
      </c>
      <c r="D126" s="52">
        <f t="array" ref="D126">IF($C126="","",IFERROR(IF(INDEX('05_Theo_Doi_Gio_Cong_7_Ngay'!$R:$R,MATCH($C126,'05_Theo_Doi_Gio_Cong_7_Ngay'!$B:$B,0))=0,"",INDEX('05_Theo_Doi_Gio_Cong_7_Ngay'!$R:$R,MATCH($C126,'05_Theo_Doi_Gio_Cong_7_Ngay'!$B:$B,0))),""))</f>
      </c>
      <c r="E126" s="60">
        <f t="array" ref="E126">IF($B126="","",IFERROR(IF(INDEX('01_UngVien_PhongVan'!$D:$D,MATCH($B126,'01_UngVien_PhongVan'!$B:$B,0))=0,"",INDEX('01_UngVien_PhongVan'!$D:$D,MATCH($B126,'01_UngVien_PhongVan'!$B:$B,0))),""))</f>
      </c>
      <c r="F126" s="52">
        <f t="array" ref="F126">IF($B126="","",IFERROR(IF(INDEX('01_UngVien_PhongVan'!$F:$F,MATCH($B126,'01_UngVien_PhongVan'!$B:$B,0))=0,"",INDEX('01_UngVien_PhongVan'!$F:$F,MATCH($B126,'01_UngVien_PhongVan'!$B:$B,0))),""))</f>
      </c>
      <c r="G126" s="72">
        <f t="array" ref="G126">IF($B126="","",IFERROR(IF(INDEX('01_UngVien_PhongVan'!$G:$G,MATCH($B126,'01_UngVien_PhongVan'!$B:$B,0))=0,"",INDEX('01_UngVien_PhongVan'!$G:$G,MATCH($B126,'01_UngVien_PhongVan'!$B:$B,0))),""))</f>
      </c>
      <c r="H126" s="52">
        <f t="array" ref="H126">IF($B126="","",IFERROR(IF(INDEX('01_UngVien_PhongVan'!$H:$H,MATCH($B126,'01_UngVien_PhongVan'!$B:$B,0))=0,"",INDEX('01_UngVien_PhongVan'!$H:$H,MATCH($B126,'01_UngVien_PhongVan'!$B:$B,0))),""))</f>
      </c>
      <c r="I126" s="60">
        <f t="array" ref="I126">IF($B126="","",IFERROR(IF(INDEX('01_UngVien_PhongVan'!$I:$I,MATCH($B126,'01_UngVien_PhongVan'!$B:$B,0))=0,"",INDEX('01_UngVien_PhongVan'!$I:$I,MATCH($B126,'01_UngVien_PhongVan'!$B:$B,0))),""))</f>
      </c>
      <c r="J126" s="60">
        <f t="array" ref="J126">IF($B126="","",IFERROR(IF(INDEX('01_UngVien_PhongVan'!$J:$J,MATCH($B126,'01_UngVien_PhongVan'!$B:$B,0))=0,"",INDEX('01_UngVien_PhongVan'!$J:$J,MATCH($B126,'01_UngVien_PhongVan'!$B:$B,0))),""))</f>
      </c>
      <c r="K126" s="73">
        <f t="array" ref="K126">IF($B126="","",IFERROR(IF(INDEX('01_UngVien_PhongVan'!$K:$K,MATCH($B126,'01_UngVien_PhongVan'!$B:$B,0))=0,"",INDEX('01_UngVien_PhongVan'!$K:$K,MATCH($B126,'01_UngVien_PhongVan'!$B:$B,0))),""))</f>
      </c>
      <c r="L126" s="60">
        <f t="array" ref="L126">IF($B126="","",IFERROR(IF(INDEX('01_UngVien_PhongVan'!$L:$L,MATCH($B126,'01_UngVien_PhongVan'!$B:$B,0))=0,"",INDEX('01_UngVien_PhongVan'!$L:$L,MATCH($B126,'01_UngVien_PhongVan'!$B:$B,0))),""))</f>
      </c>
      <c r="M126" s="60">
        <f t="array" ref="M126">IF($B126="","",IFERROR(IF(INDEX('01_UngVien_PhongVan'!$E:$E,MATCH($B126,'01_UngVien_PhongVan'!$B:$B,0))=0,"",INDEX('01_UngVien_PhongVan'!$E:$E,MATCH($B126,'01_UngVien_PhongVan'!$B:$B,0))),""))</f>
      </c>
      <c r="N126" s="60">
        <f t="array" ref="N126">IF($B126="","",IFERROR(IF(INDEX('01_UngVien_PhongVan'!$M:$M,MATCH($B126,'01_UngVien_PhongVan'!$B:$B,0))=0,"",INDEX('01_UngVien_PhongVan'!$M:$M,MATCH($B126,'01_UngVien_PhongVan'!$B:$B,0))),""))</f>
      </c>
      <c r="O126" s="60">
        <f t="array" ref="O126">IF($B126="","",IFERROR(IF(INDEX('01_UngVien_PhongVan'!$N:$N,MATCH($B126,'01_UngVien_PhongVan'!$B:$B,0))=0,"",INDEX('01_UngVien_PhongVan'!$N:$N,MATCH($B126,'01_UngVien_PhongVan'!$B:$B,0))),""))</f>
      </c>
      <c r="P126" s="60">
        <f t="array" ref="P126">IF($B126="","",IFERROR(IF(INDEX('01_UngVien_PhongVan'!$O:$O,MATCH($B126,'01_UngVien_PhongVan'!$B:$B,0))=0,"",INDEX('01_UngVien_PhongVan'!$O:$O,MATCH($B126,'01_UngVien_PhongVan'!$B:$B,0))),""))</f>
      </c>
      <c r="Q126" s="60">
        <f t="array" ref="Q126">IF($B126="","",IFERROR(IF(INDEX('01_UngVien_PhongVan'!$P:$P,MATCH($B126,'01_UngVien_PhongVan'!$B:$B,0))=0,"",INDEX('01_UngVien_PhongVan'!$P:$P,MATCH($B126,'01_UngVien_PhongVan'!$B:$B,0))),""))</f>
      </c>
      <c r="R126" s="60">
        <f t="array" ref="R126">IF($B126="","",IFERROR(IF(INDEX('01_UngVien_PhongVan'!$Q:$Q,MATCH($B126,'01_UngVien_PhongVan'!$B:$B,0))=0,"",INDEX('01_UngVien_PhongVan'!$Q:$Q,MATCH($B126,'01_UngVien_PhongVan'!$B:$B,0))),""))</f>
      </c>
      <c r="S126" s="60">
        <f t="array" ref="S126">IF($B126="","",IFERROR(IF(INDEX('01_UngVien_PhongVan'!$R:$R,MATCH($B126,'01_UngVien_PhongVan'!$B:$B,0))=0,"",INDEX('01_UngVien_PhongVan'!$R:$R,MATCH($B126,'01_UngVien_PhongVan'!$B:$B,0))),""))</f>
      </c>
      <c r="T126" s="60">
        <f t="array" ref="T126">IF($B126="","",IFERROR(IF(INDEX('01_UngVien_PhongVan'!$U:$U,MATCH($B126,'01_UngVien_PhongVan'!$B:$B,0))=0,"",INDEX('01_UngVien_PhongVan'!$U:$U,MATCH($B126,'01_UngVien_PhongVan'!$B:$B,0))),""))</f>
      </c>
      <c r="U126" s="73">
        <f t="array" ref="U126">IF($B126="","",IFERROR(IF(INDEX('01_UngVien_PhongVan'!$C:$C,MATCH($B126,'01_UngVien_PhongVan'!$B:$B,0))=0,"",INDEX('01_UngVien_PhongVan'!$C:$C,MATCH($B126,'01_UngVien_PhongVan'!$B:$B,0))),""))</f>
      </c>
      <c r="V126" s="73">
        <f t="array" ref="V126">IF($B126="","",IFERROR(IF(INDEX('02_DS_Nhan_Viec'!$D:$D,MATCH($B126,'02_DS_Nhan_Viec'!$B:$B,0))=0,"",INDEX('02_DS_Nhan_Viec'!$D:$D,MATCH($B126,'02_DS_Nhan_Viec'!$B:$B,0))),""))</f>
      </c>
      <c r="W126" s="73">
        <f t="array" ref="W126">IF($B126="","",IFERROR(IF(INDEX('02_DS_Nhan_Viec'!$E:$E,MATCH($B126,'02_DS_Nhan_Viec'!$B:$B,0))=0,"",INDEX('02_DS_Nhan_Viec'!$E:$E,MATCH($B126,'02_DS_Nhan_Viec'!$B:$B,0))),""))</f>
      </c>
      <c r="X126" s="73">
        <f t="array" ref="X126">IF($C126="","",IFERROR(IF(INDEX('05_Theo_Doi_Gio_Cong_7_Ngay'!$P:$P,MATCH($C126,'05_Theo_Doi_Gio_Cong_7_Ngay'!$B:$B,0))=0,"",INDEX('05_Theo_Doi_Gio_Cong_7_Ngay'!$P:$P,MATCH($C126,'05_Theo_Doi_Gio_Cong_7_Ngay'!$B:$B,0))),""))</f>
      </c>
      <c r="Y126" s="60">
        <f t="array" ref="Y126">IF($C126="","",IFERROR(IF(INDEX('05_Theo_Doi_Gio_Cong_7_Ngay'!$M:$M,MATCH($C126,'05_Theo_Doi_Gio_Cong_7_Ngay'!$B:$B,0))=0,"",INDEX('05_Theo_Doi_Gio_Cong_7_Ngay'!$M:$M,MATCH($C126,'05_Theo_Doi_Gio_Cong_7_Ngay'!$B:$B,0))),""))</f>
      </c>
      <c r="Z126" s="60">
        <f t="array" ref="Z126">IF($C126="","",IFERROR(IF(INDEX('05_Theo_Doi_Gio_Cong_7_Ngay'!$Q:$Q,MATCH($C126,'05_Theo_Doi_Gio_Cong_7_Ngay'!$B:$B,0))=0,"",INDEX('05_Theo_Doi_Gio_Cong_7_Ngay'!$Q:$Q,MATCH($C126,'05_Theo_Doi_Gio_Cong_7_Ngay'!$B:$B,0))),""))</f>
      </c>
      <c r="AA126" s="60">
        <f t="array" ref="AA126">IF($B126="","",IFERROR(IF(INDEX('02_DS_Nhan_Viec'!$H:$H,MATCH($B126,'02_DS_Nhan_Viec'!$B:$B,0))=0,"",INDEX('02_DS_Nhan_Viec'!$H:$H,MATCH($B126,'02_DS_Nhan_Viec'!$B:$B,0))),""))</f>
      </c>
      <c r="AB126" s="60">
        <f t="array" ref="AB126">IF($B126="","",IFERROR(IF(INDEX('02_DS_Nhan_Viec'!$I:$I,MATCH($B126,'02_DS_Nhan_Viec'!$B:$B,0))=0,"",INDEX('02_DS_Nhan_Viec'!$I:$I,MATCH($B126,'02_DS_Nhan_Viec'!$B:$B,0))),""))</f>
      </c>
      <c r="AC126" s="61">
        <f t="array" ref="AC126">IF($B126="","",IF($C126="","Đang theo dõi",IF(OR(IFERROR(INDEX('05_Theo_Doi_Gio_Cong_7_Ngay'!$R:$R,MATCH($C126,'05_Theo_Doi_Gio_Cong_7_Ngay'!$B:$B,0)),"")="",IFERROR(INDEX('05_Theo_Doi_Gio_Cong_7_Ngay'!$R:$R,MATCH($C126,'05_Theo_Doi_Gio_Cong_7_Ngay'!$B:$B,0)),0)=0),"Đang theo dõi",IFERROR(INDEX('06_DS_Chinh_Thuc'!$K:$K,MATCH(IFERROR(INDEX('05_Theo_Doi_Gio_Cong_7_Ngay'!$R:$R,MATCH($C126,'05_Theo_Doi_Gio_Cong_7_Ngay'!$B:$B,0)),0),'06_DS_Chinh_Thuc'!$B:$B,0)),"Đang theo dõi"))))</f>
      </c>
    </row>
    <row r="127" ht="14.25" customHeight="1" spans="1:29" x14ac:dyDescent="0.25">
      <c r="A127" s="52">
        <f t="shared" si="0"/>
      </c>
      <c r="B127" s="52">
        <f t="array" ref="B127">IFERROR(INDEX('02_DS_Nhan_Viec'!$B:$B,MATCH(126,'02_DS_Nhan_Viec'!$M:$M,0)),"")</f>
      </c>
      <c r="C127" s="52">
        <f t="array" ref="C127">IF($B127="","",IFERROR(IF(INDEX('02_DS_Nhan_Viec'!$J:$J,MATCH($B127,'02_DS_Nhan_Viec'!$B:$B,0))=0,"",INDEX('02_DS_Nhan_Viec'!$J:$J,MATCH($B127,'02_DS_Nhan_Viec'!$B:$B,0))),""))</f>
      </c>
      <c r="D127" s="52">
        <f t="array" ref="D127">IF($C127="","",IFERROR(IF(INDEX('05_Theo_Doi_Gio_Cong_7_Ngay'!$R:$R,MATCH($C127,'05_Theo_Doi_Gio_Cong_7_Ngay'!$B:$B,0))=0,"",INDEX('05_Theo_Doi_Gio_Cong_7_Ngay'!$R:$R,MATCH($C127,'05_Theo_Doi_Gio_Cong_7_Ngay'!$B:$B,0))),""))</f>
      </c>
      <c r="E127" s="60">
        <f t="array" ref="E127">IF($B127="","",IFERROR(IF(INDEX('01_UngVien_PhongVan'!$D:$D,MATCH($B127,'01_UngVien_PhongVan'!$B:$B,0))=0,"",INDEX('01_UngVien_PhongVan'!$D:$D,MATCH($B127,'01_UngVien_PhongVan'!$B:$B,0))),""))</f>
      </c>
      <c r="F127" s="52">
        <f t="array" ref="F127">IF($B127="","",IFERROR(IF(INDEX('01_UngVien_PhongVan'!$F:$F,MATCH($B127,'01_UngVien_PhongVan'!$B:$B,0))=0,"",INDEX('01_UngVien_PhongVan'!$F:$F,MATCH($B127,'01_UngVien_PhongVan'!$B:$B,0))),""))</f>
      </c>
      <c r="G127" s="72">
        <f t="array" ref="G127">IF($B127="","",IFERROR(IF(INDEX('01_UngVien_PhongVan'!$G:$G,MATCH($B127,'01_UngVien_PhongVan'!$B:$B,0))=0,"",INDEX('01_UngVien_PhongVan'!$G:$G,MATCH($B127,'01_UngVien_PhongVan'!$B:$B,0))),""))</f>
      </c>
      <c r="H127" s="52">
        <f t="array" ref="H127">IF($B127="","",IFERROR(IF(INDEX('01_UngVien_PhongVan'!$H:$H,MATCH($B127,'01_UngVien_PhongVan'!$B:$B,0))=0,"",INDEX('01_UngVien_PhongVan'!$H:$H,MATCH($B127,'01_UngVien_PhongVan'!$B:$B,0))),""))</f>
      </c>
      <c r="I127" s="60">
        <f t="array" ref="I127">IF($B127="","",IFERROR(IF(INDEX('01_UngVien_PhongVan'!$I:$I,MATCH($B127,'01_UngVien_PhongVan'!$B:$B,0))=0,"",INDEX('01_UngVien_PhongVan'!$I:$I,MATCH($B127,'01_UngVien_PhongVan'!$B:$B,0))),""))</f>
      </c>
      <c r="J127" s="60">
        <f t="array" ref="J127">IF($B127="","",IFERROR(IF(INDEX('01_UngVien_PhongVan'!$J:$J,MATCH($B127,'01_UngVien_PhongVan'!$B:$B,0))=0,"",INDEX('01_UngVien_PhongVan'!$J:$J,MATCH($B127,'01_UngVien_PhongVan'!$B:$B,0))),""))</f>
      </c>
      <c r="K127" s="73">
        <f t="array" ref="K127">IF($B127="","",IFERROR(IF(INDEX('01_UngVien_PhongVan'!$K:$K,MATCH($B127,'01_UngVien_PhongVan'!$B:$B,0))=0,"",INDEX('01_UngVien_PhongVan'!$K:$K,MATCH($B127,'01_UngVien_PhongVan'!$B:$B,0))),""))</f>
      </c>
      <c r="L127" s="60">
        <f t="array" ref="L127">IF($B127="","",IFERROR(IF(INDEX('01_UngVien_PhongVan'!$L:$L,MATCH($B127,'01_UngVien_PhongVan'!$B:$B,0))=0,"",INDEX('01_UngVien_PhongVan'!$L:$L,MATCH($B127,'01_UngVien_PhongVan'!$B:$B,0))),""))</f>
      </c>
      <c r="M127" s="60">
        <f t="array" ref="M127">IF($B127="","",IFERROR(IF(INDEX('01_UngVien_PhongVan'!$E:$E,MATCH($B127,'01_UngVien_PhongVan'!$B:$B,0))=0,"",INDEX('01_UngVien_PhongVan'!$E:$E,MATCH($B127,'01_UngVien_PhongVan'!$B:$B,0))),""))</f>
      </c>
      <c r="N127" s="60">
        <f t="array" ref="N127">IF($B127="","",IFERROR(IF(INDEX('01_UngVien_PhongVan'!$M:$M,MATCH($B127,'01_UngVien_PhongVan'!$B:$B,0))=0,"",INDEX('01_UngVien_PhongVan'!$M:$M,MATCH($B127,'01_UngVien_PhongVan'!$B:$B,0))),""))</f>
      </c>
      <c r="O127" s="60">
        <f t="array" ref="O127">IF($B127="","",IFERROR(IF(INDEX('01_UngVien_PhongVan'!$N:$N,MATCH($B127,'01_UngVien_PhongVan'!$B:$B,0))=0,"",INDEX('01_UngVien_PhongVan'!$N:$N,MATCH($B127,'01_UngVien_PhongVan'!$B:$B,0))),""))</f>
      </c>
      <c r="P127" s="60">
        <f t="array" ref="P127">IF($B127="","",IFERROR(IF(INDEX('01_UngVien_PhongVan'!$O:$O,MATCH($B127,'01_UngVien_PhongVan'!$B:$B,0))=0,"",INDEX('01_UngVien_PhongVan'!$O:$O,MATCH($B127,'01_UngVien_PhongVan'!$B:$B,0))),""))</f>
      </c>
      <c r="Q127" s="60">
        <f t="array" ref="Q127">IF($B127="","",IFERROR(IF(INDEX('01_UngVien_PhongVan'!$P:$P,MATCH($B127,'01_UngVien_PhongVan'!$B:$B,0))=0,"",INDEX('01_UngVien_PhongVan'!$P:$P,MATCH($B127,'01_UngVien_PhongVan'!$B:$B,0))),""))</f>
      </c>
      <c r="R127" s="60">
        <f t="array" ref="R127">IF($B127="","",IFERROR(IF(INDEX('01_UngVien_PhongVan'!$Q:$Q,MATCH($B127,'01_UngVien_PhongVan'!$B:$B,0))=0,"",INDEX('01_UngVien_PhongVan'!$Q:$Q,MATCH($B127,'01_UngVien_PhongVan'!$B:$B,0))),""))</f>
      </c>
      <c r="S127" s="60">
        <f t="array" ref="S127">IF($B127="","",IFERROR(IF(INDEX('01_UngVien_PhongVan'!$R:$R,MATCH($B127,'01_UngVien_PhongVan'!$B:$B,0))=0,"",INDEX('01_UngVien_PhongVan'!$R:$R,MATCH($B127,'01_UngVien_PhongVan'!$B:$B,0))),""))</f>
      </c>
      <c r="T127" s="60">
        <f t="array" ref="T127">IF($B127="","",IFERROR(IF(INDEX('01_UngVien_PhongVan'!$U:$U,MATCH($B127,'01_UngVien_PhongVan'!$B:$B,0))=0,"",INDEX('01_UngVien_PhongVan'!$U:$U,MATCH($B127,'01_UngVien_PhongVan'!$B:$B,0))),""))</f>
      </c>
      <c r="U127" s="73">
        <f t="array" ref="U127">IF($B127="","",IFERROR(IF(INDEX('01_UngVien_PhongVan'!$C:$C,MATCH($B127,'01_UngVien_PhongVan'!$B:$B,0))=0,"",INDEX('01_UngVien_PhongVan'!$C:$C,MATCH($B127,'01_UngVien_PhongVan'!$B:$B,0))),""))</f>
      </c>
      <c r="V127" s="73">
        <f t="array" ref="V127">IF($B127="","",IFERROR(IF(INDEX('02_DS_Nhan_Viec'!$D:$D,MATCH($B127,'02_DS_Nhan_Viec'!$B:$B,0))=0,"",INDEX('02_DS_Nhan_Viec'!$D:$D,MATCH($B127,'02_DS_Nhan_Viec'!$B:$B,0))),""))</f>
      </c>
      <c r="W127" s="73">
        <f t="array" ref="W127">IF($B127="","",IFERROR(IF(INDEX('02_DS_Nhan_Viec'!$E:$E,MATCH($B127,'02_DS_Nhan_Viec'!$B:$B,0))=0,"",INDEX('02_DS_Nhan_Viec'!$E:$E,MATCH($B127,'02_DS_Nhan_Viec'!$B:$B,0))),""))</f>
      </c>
      <c r="X127" s="73">
        <f t="array" ref="X127">IF($C127="","",IFERROR(IF(INDEX('05_Theo_Doi_Gio_Cong_7_Ngay'!$P:$P,MATCH($C127,'05_Theo_Doi_Gio_Cong_7_Ngay'!$B:$B,0))=0,"",INDEX('05_Theo_Doi_Gio_Cong_7_Ngay'!$P:$P,MATCH($C127,'05_Theo_Doi_Gio_Cong_7_Ngay'!$B:$B,0))),""))</f>
      </c>
      <c r="Y127" s="60">
        <f t="array" ref="Y127">IF($C127="","",IFERROR(IF(INDEX('05_Theo_Doi_Gio_Cong_7_Ngay'!$M:$M,MATCH($C127,'05_Theo_Doi_Gio_Cong_7_Ngay'!$B:$B,0))=0,"",INDEX('05_Theo_Doi_Gio_Cong_7_Ngay'!$M:$M,MATCH($C127,'05_Theo_Doi_Gio_Cong_7_Ngay'!$B:$B,0))),""))</f>
      </c>
      <c r="Z127" s="60">
        <f t="array" ref="Z127">IF($C127="","",IFERROR(IF(INDEX('05_Theo_Doi_Gio_Cong_7_Ngay'!$Q:$Q,MATCH($C127,'05_Theo_Doi_Gio_Cong_7_Ngay'!$B:$B,0))=0,"",INDEX('05_Theo_Doi_Gio_Cong_7_Ngay'!$Q:$Q,MATCH($C127,'05_Theo_Doi_Gio_Cong_7_Ngay'!$B:$B,0))),""))</f>
      </c>
      <c r="AA127" s="60">
        <f t="array" ref="AA127">IF($B127="","",IFERROR(IF(INDEX('02_DS_Nhan_Viec'!$H:$H,MATCH($B127,'02_DS_Nhan_Viec'!$B:$B,0))=0,"",INDEX('02_DS_Nhan_Viec'!$H:$H,MATCH($B127,'02_DS_Nhan_Viec'!$B:$B,0))),""))</f>
      </c>
      <c r="AB127" s="60">
        <f t="array" ref="AB127">IF($B127="","",IFERROR(IF(INDEX('02_DS_Nhan_Viec'!$I:$I,MATCH($B127,'02_DS_Nhan_Viec'!$B:$B,0))=0,"",INDEX('02_DS_Nhan_Viec'!$I:$I,MATCH($B127,'02_DS_Nhan_Viec'!$B:$B,0))),""))</f>
      </c>
      <c r="AC127" s="61">
        <f t="array" ref="AC127">IF($B127="","",IF($C127="","Đang theo dõi",IF(OR(IFERROR(INDEX('05_Theo_Doi_Gio_Cong_7_Ngay'!$R:$R,MATCH($C127,'05_Theo_Doi_Gio_Cong_7_Ngay'!$B:$B,0)),"")="",IFERROR(INDEX('05_Theo_Doi_Gio_Cong_7_Ngay'!$R:$R,MATCH($C127,'05_Theo_Doi_Gio_Cong_7_Ngay'!$B:$B,0)),0)=0),"Đang theo dõi",IFERROR(INDEX('06_DS_Chinh_Thuc'!$K:$K,MATCH(IFERROR(INDEX('05_Theo_Doi_Gio_Cong_7_Ngay'!$R:$R,MATCH($C127,'05_Theo_Doi_Gio_Cong_7_Ngay'!$B:$B,0)),0),'06_DS_Chinh_Thuc'!$B:$B,0)),"Đang theo dõi"))))</f>
      </c>
    </row>
    <row r="128" ht="14.25" customHeight="1" spans="1:29" x14ac:dyDescent="0.25">
      <c r="A128" s="52">
        <f t="shared" si="0"/>
      </c>
      <c r="B128" s="52">
        <f t="array" ref="B128">IFERROR(INDEX('02_DS_Nhan_Viec'!$B:$B,MATCH(127,'02_DS_Nhan_Viec'!$M:$M,0)),"")</f>
      </c>
      <c r="C128" s="52">
        <f t="array" ref="C128">IF($B128="","",IFERROR(IF(INDEX('02_DS_Nhan_Viec'!$J:$J,MATCH($B128,'02_DS_Nhan_Viec'!$B:$B,0))=0,"",INDEX('02_DS_Nhan_Viec'!$J:$J,MATCH($B128,'02_DS_Nhan_Viec'!$B:$B,0))),""))</f>
      </c>
      <c r="D128" s="52">
        <f t="array" ref="D128">IF($C128="","",IFERROR(IF(INDEX('05_Theo_Doi_Gio_Cong_7_Ngay'!$R:$R,MATCH($C128,'05_Theo_Doi_Gio_Cong_7_Ngay'!$B:$B,0))=0,"",INDEX('05_Theo_Doi_Gio_Cong_7_Ngay'!$R:$R,MATCH($C128,'05_Theo_Doi_Gio_Cong_7_Ngay'!$B:$B,0))),""))</f>
      </c>
      <c r="E128" s="60">
        <f t="array" ref="E128">IF($B128="","",IFERROR(IF(INDEX('01_UngVien_PhongVan'!$D:$D,MATCH($B128,'01_UngVien_PhongVan'!$B:$B,0))=0,"",INDEX('01_UngVien_PhongVan'!$D:$D,MATCH($B128,'01_UngVien_PhongVan'!$B:$B,0))),""))</f>
      </c>
      <c r="F128" s="52">
        <f t="array" ref="F128">IF($B128="","",IFERROR(IF(INDEX('01_UngVien_PhongVan'!$F:$F,MATCH($B128,'01_UngVien_PhongVan'!$B:$B,0))=0,"",INDEX('01_UngVien_PhongVan'!$F:$F,MATCH($B128,'01_UngVien_PhongVan'!$B:$B,0))),""))</f>
      </c>
      <c r="G128" s="72">
        <f t="array" ref="G128">IF($B128="","",IFERROR(IF(INDEX('01_UngVien_PhongVan'!$G:$G,MATCH($B128,'01_UngVien_PhongVan'!$B:$B,0))=0,"",INDEX('01_UngVien_PhongVan'!$G:$G,MATCH($B128,'01_UngVien_PhongVan'!$B:$B,0))),""))</f>
      </c>
      <c r="H128" s="52">
        <f t="array" ref="H128">IF($B128="","",IFERROR(IF(INDEX('01_UngVien_PhongVan'!$H:$H,MATCH($B128,'01_UngVien_PhongVan'!$B:$B,0))=0,"",INDEX('01_UngVien_PhongVan'!$H:$H,MATCH($B128,'01_UngVien_PhongVan'!$B:$B,0))),""))</f>
      </c>
      <c r="I128" s="60">
        <f t="array" ref="I128">IF($B128="","",IFERROR(IF(INDEX('01_UngVien_PhongVan'!$I:$I,MATCH($B128,'01_UngVien_PhongVan'!$B:$B,0))=0,"",INDEX('01_UngVien_PhongVan'!$I:$I,MATCH($B128,'01_UngVien_PhongVan'!$B:$B,0))),""))</f>
      </c>
      <c r="J128" s="60">
        <f t="array" ref="J128">IF($B128="","",IFERROR(IF(INDEX('01_UngVien_PhongVan'!$J:$J,MATCH($B128,'01_UngVien_PhongVan'!$B:$B,0))=0,"",INDEX('01_UngVien_PhongVan'!$J:$J,MATCH($B128,'01_UngVien_PhongVan'!$B:$B,0))),""))</f>
      </c>
      <c r="K128" s="73">
        <f t="array" ref="K128">IF($B128="","",IFERROR(IF(INDEX('01_UngVien_PhongVan'!$K:$K,MATCH($B128,'01_UngVien_PhongVan'!$B:$B,0))=0,"",INDEX('01_UngVien_PhongVan'!$K:$K,MATCH($B128,'01_UngVien_PhongVan'!$B:$B,0))),""))</f>
      </c>
      <c r="L128" s="60">
        <f t="array" ref="L128">IF($B128="","",IFERROR(IF(INDEX('01_UngVien_PhongVan'!$L:$L,MATCH($B128,'01_UngVien_PhongVan'!$B:$B,0))=0,"",INDEX('01_UngVien_PhongVan'!$L:$L,MATCH($B128,'01_UngVien_PhongVan'!$B:$B,0))),""))</f>
      </c>
      <c r="M128" s="60">
        <f t="array" ref="M128">IF($B128="","",IFERROR(IF(INDEX('01_UngVien_PhongVan'!$E:$E,MATCH($B128,'01_UngVien_PhongVan'!$B:$B,0))=0,"",INDEX('01_UngVien_PhongVan'!$E:$E,MATCH($B128,'01_UngVien_PhongVan'!$B:$B,0))),""))</f>
      </c>
      <c r="N128" s="60">
        <f t="array" ref="N128">IF($B128="","",IFERROR(IF(INDEX('01_UngVien_PhongVan'!$M:$M,MATCH($B128,'01_UngVien_PhongVan'!$B:$B,0))=0,"",INDEX('01_UngVien_PhongVan'!$M:$M,MATCH($B128,'01_UngVien_PhongVan'!$B:$B,0))),""))</f>
      </c>
      <c r="O128" s="60">
        <f t="array" ref="O128">IF($B128="","",IFERROR(IF(INDEX('01_UngVien_PhongVan'!$N:$N,MATCH($B128,'01_UngVien_PhongVan'!$B:$B,0))=0,"",INDEX('01_UngVien_PhongVan'!$N:$N,MATCH($B128,'01_UngVien_PhongVan'!$B:$B,0))),""))</f>
      </c>
      <c r="P128" s="60">
        <f t="array" ref="P128">IF($B128="","",IFERROR(IF(INDEX('01_UngVien_PhongVan'!$O:$O,MATCH($B128,'01_UngVien_PhongVan'!$B:$B,0))=0,"",INDEX('01_UngVien_PhongVan'!$O:$O,MATCH($B128,'01_UngVien_PhongVan'!$B:$B,0))),""))</f>
      </c>
      <c r="Q128" s="60">
        <f t="array" ref="Q128">IF($B128="","",IFERROR(IF(INDEX('01_UngVien_PhongVan'!$P:$P,MATCH($B128,'01_UngVien_PhongVan'!$B:$B,0))=0,"",INDEX('01_UngVien_PhongVan'!$P:$P,MATCH($B128,'01_UngVien_PhongVan'!$B:$B,0))),""))</f>
      </c>
      <c r="R128" s="60">
        <f t="array" ref="R128">IF($B128="","",IFERROR(IF(INDEX('01_UngVien_PhongVan'!$Q:$Q,MATCH($B128,'01_UngVien_PhongVan'!$B:$B,0))=0,"",INDEX('01_UngVien_PhongVan'!$Q:$Q,MATCH($B128,'01_UngVien_PhongVan'!$B:$B,0))),""))</f>
      </c>
      <c r="S128" s="60">
        <f t="array" ref="S128">IF($B128="","",IFERROR(IF(INDEX('01_UngVien_PhongVan'!$R:$R,MATCH($B128,'01_UngVien_PhongVan'!$B:$B,0))=0,"",INDEX('01_UngVien_PhongVan'!$R:$R,MATCH($B128,'01_UngVien_PhongVan'!$B:$B,0))),""))</f>
      </c>
      <c r="T128" s="60">
        <f t="array" ref="T128">IF($B128="","",IFERROR(IF(INDEX('01_UngVien_PhongVan'!$U:$U,MATCH($B128,'01_UngVien_PhongVan'!$B:$B,0))=0,"",INDEX('01_UngVien_PhongVan'!$U:$U,MATCH($B128,'01_UngVien_PhongVan'!$B:$B,0))),""))</f>
      </c>
      <c r="U128" s="73">
        <f t="array" ref="U128">IF($B128="","",IFERROR(IF(INDEX('01_UngVien_PhongVan'!$C:$C,MATCH($B128,'01_UngVien_PhongVan'!$B:$B,0))=0,"",INDEX('01_UngVien_PhongVan'!$C:$C,MATCH($B128,'01_UngVien_PhongVan'!$B:$B,0))),""))</f>
      </c>
      <c r="V128" s="73">
        <f t="array" ref="V128">IF($B128="","",IFERROR(IF(INDEX('02_DS_Nhan_Viec'!$D:$D,MATCH($B128,'02_DS_Nhan_Viec'!$B:$B,0))=0,"",INDEX('02_DS_Nhan_Viec'!$D:$D,MATCH($B128,'02_DS_Nhan_Viec'!$B:$B,0))),""))</f>
      </c>
      <c r="W128" s="73">
        <f t="array" ref="W128">IF($B128="","",IFERROR(IF(INDEX('02_DS_Nhan_Viec'!$E:$E,MATCH($B128,'02_DS_Nhan_Viec'!$B:$B,0))=0,"",INDEX('02_DS_Nhan_Viec'!$E:$E,MATCH($B128,'02_DS_Nhan_Viec'!$B:$B,0))),""))</f>
      </c>
      <c r="X128" s="73">
        <f t="array" ref="X128">IF($C128="","",IFERROR(IF(INDEX('05_Theo_Doi_Gio_Cong_7_Ngay'!$P:$P,MATCH($C128,'05_Theo_Doi_Gio_Cong_7_Ngay'!$B:$B,0))=0,"",INDEX('05_Theo_Doi_Gio_Cong_7_Ngay'!$P:$P,MATCH($C128,'05_Theo_Doi_Gio_Cong_7_Ngay'!$B:$B,0))),""))</f>
      </c>
      <c r="Y128" s="60">
        <f t="array" ref="Y128">IF($C128="","",IFERROR(IF(INDEX('05_Theo_Doi_Gio_Cong_7_Ngay'!$M:$M,MATCH($C128,'05_Theo_Doi_Gio_Cong_7_Ngay'!$B:$B,0))=0,"",INDEX('05_Theo_Doi_Gio_Cong_7_Ngay'!$M:$M,MATCH($C128,'05_Theo_Doi_Gio_Cong_7_Ngay'!$B:$B,0))),""))</f>
      </c>
      <c r="Z128" s="60">
        <f t="array" ref="Z128">IF($C128="","",IFERROR(IF(INDEX('05_Theo_Doi_Gio_Cong_7_Ngay'!$Q:$Q,MATCH($C128,'05_Theo_Doi_Gio_Cong_7_Ngay'!$B:$B,0))=0,"",INDEX('05_Theo_Doi_Gio_Cong_7_Ngay'!$Q:$Q,MATCH($C128,'05_Theo_Doi_Gio_Cong_7_Ngay'!$B:$B,0))),""))</f>
      </c>
      <c r="AA128" s="60">
        <f t="array" ref="AA128">IF($B128="","",IFERROR(IF(INDEX('02_DS_Nhan_Viec'!$H:$H,MATCH($B128,'02_DS_Nhan_Viec'!$B:$B,0))=0,"",INDEX('02_DS_Nhan_Viec'!$H:$H,MATCH($B128,'02_DS_Nhan_Viec'!$B:$B,0))),""))</f>
      </c>
      <c r="AB128" s="60">
        <f t="array" ref="AB128">IF($B128="","",IFERROR(IF(INDEX('02_DS_Nhan_Viec'!$I:$I,MATCH($B128,'02_DS_Nhan_Viec'!$B:$B,0))=0,"",INDEX('02_DS_Nhan_Viec'!$I:$I,MATCH($B128,'02_DS_Nhan_Viec'!$B:$B,0))),""))</f>
      </c>
      <c r="AC128" s="61">
        <f t="array" ref="AC128">IF($B128="","",IF($C128="","Đang theo dõi",IF(OR(IFERROR(INDEX('05_Theo_Doi_Gio_Cong_7_Ngay'!$R:$R,MATCH($C128,'05_Theo_Doi_Gio_Cong_7_Ngay'!$B:$B,0)),"")="",IFERROR(INDEX('05_Theo_Doi_Gio_Cong_7_Ngay'!$R:$R,MATCH($C128,'05_Theo_Doi_Gio_Cong_7_Ngay'!$B:$B,0)),0)=0),"Đang theo dõi",IFERROR(INDEX('06_DS_Chinh_Thuc'!$K:$K,MATCH(IFERROR(INDEX('05_Theo_Doi_Gio_Cong_7_Ngay'!$R:$R,MATCH($C128,'05_Theo_Doi_Gio_Cong_7_Ngay'!$B:$B,0)),0),'06_DS_Chinh_Thuc'!$B:$B,0)),"Đang theo dõi"))))</f>
      </c>
    </row>
    <row r="129" ht="14.25" customHeight="1" spans="1:29" x14ac:dyDescent="0.25">
      <c r="A129" s="52">
        <f t="shared" si="0"/>
      </c>
      <c r="B129" s="52">
        <f t="array" ref="B129">IFERROR(INDEX('02_DS_Nhan_Viec'!$B:$B,MATCH(128,'02_DS_Nhan_Viec'!$M:$M,0)),"")</f>
      </c>
      <c r="C129" s="52">
        <f t="array" ref="C129">IF($B129="","",IFERROR(IF(INDEX('02_DS_Nhan_Viec'!$J:$J,MATCH($B129,'02_DS_Nhan_Viec'!$B:$B,0))=0,"",INDEX('02_DS_Nhan_Viec'!$J:$J,MATCH($B129,'02_DS_Nhan_Viec'!$B:$B,0))),""))</f>
      </c>
      <c r="D129" s="52">
        <f t="array" ref="D129">IF($C129="","",IFERROR(IF(INDEX('05_Theo_Doi_Gio_Cong_7_Ngay'!$R:$R,MATCH($C129,'05_Theo_Doi_Gio_Cong_7_Ngay'!$B:$B,0))=0,"",INDEX('05_Theo_Doi_Gio_Cong_7_Ngay'!$R:$R,MATCH($C129,'05_Theo_Doi_Gio_Cong_7_Ngay'!$B:$B,0))),""))</f>
      </c>
      <c r="E129" s="60">
        <f t="array" ref="E129">IF($B129="","",IFERROR(IF(INDEX('01_UngVien_PhongVan'!$D:$D,MATCH($B129,'01_UngVien_PhongVan'!$B:$B,0))=0,"",INDEX('01_UngVien_PhongVan'!$D:$D,MATCH($B129,'01_UngVien_PhongVan'!$B:$B,0))),""))</f>
      </c>
      <c r="F129" s="52">
        <f t="array" ref="F129">IF($B129="","",IFERROR(IF(INDEX('01_UngVien_PhongVan'!$F:$F,MATCH($B129,'01_UngVien_PhongVan'!$B:$B,0))=0,"",INDEX('01_UngVien_PhongVan'!$F:$F,MATCH($B129,'01_UngVien_PhongVan'!$B:$B,0))),""))</f>
      </c>
      <c r="G129" s="72">
        <f t="array" ref="G129">IF($B129="","",IFERROR(IF(INDEX('01_UngVien_PhongVan'!$G:$G,MATCH($B129,'01_UngVien_PhongVan'!$B:$B,0))=0,"",INDEX('01_UngVien_PhongVan'!$G:$G,MATCH($B129,'01_UngVien_PhongVan'!$B:$B,0))),""))</f>
      </c>
      <c r="H129" s="52">
        <f t="array" ref="H129">IF($B129="","",IFERROR(IF(INDEX('01_UngVien_PhongVan'!$H:$H,MATCH($B129,'01_UngVien_PhongVan'!$B:$B,0))=0,"",INDEX('01_UngVien_PhongVan'!$H:$H,MATCH($B129,'01_UngVien_PhongVan'!$B:$B,0))),""))</f>
      </c>
      <c r="I129" s="60">
        <f t="array" ref="I129">IF($B129="","",IFERROR(IF(INDEX('01_UngVien_PhongVan'!$I:$I,MATCH($B129,'01_UngVien_PhongVan'!$B:$B,0))=0,"",INDEX('01_UngVien_PhongVan'!$I:$I,MATCH($B129,'01_UngVien_PhongVan'!$B:$B,0))),""))</f>
      </c>
      <c r="J129" s="60">
        <f t="array" ref="J129">IF($B129="","",IFERROR(IF(INDEX('01_UngVien_PhongVan'!$J:$J,MATCH($B129,'01_UngVien_PhongVan'!$B:$B,0))=0,"",INDEX('01_UngVien_PhongVan'!$J:$J,MATCH($B129,'01_UngVien_PhongVan'!$B:$B,0))),""))</f>
      </c>
      <c r="K129" s="73">
        <f t="array" ref="K129">IF($B129="","",IFERROR(IF(INDEX('01_UngVien_PhongVan'!$K:$K,MATCH($B129,'01_UngVien_PhongVan'!$B:$B,0))=0,"",INDEX('01_UngVien_PhongVan'!$K:$K,MATCH($B129,'01_UngVien_PhongVan'!$B:$B,0))),""))</f>
      </c>
      <c r="L129" s="60">
        <f t="array" ref="L129">IF($B129="","",IFERROR(IF(INDEX('01_UngVien_PhongVan'!$L:$L,MATCH($B129,'01_UngVien_PhongVan'!$B:$B,0))=0,"",INDEX('01_UngVien_PhongVan'!$L:$L,MATCH($B129,'01_UngVien_PhongVan'!$B:$B,0))),""))</f>
      </c>
      <c r="M129" s="60">
        <f t="array" ref="M129">IF($B129="","",IFERROR(IF(INDEX('01_UngVien_PhongVan'!$E:$E,MATCH($B129,'01_UngVien_PhongVan'!$B:$B,0))=0,"",INDEX('01_UngVien_PhongVan'!$E:$E,MATCH($B129,'01_UngVien_PhongVan'!$B:$B,0))),""))</f>
      </c>
      <c r="N129" s="60">
        <f t="array" ref="N129">IF($B129="","",IFERROR(IF(INDEX('01_UngVien_PhongVan'!$M:$M,MATCH($B129,'01_UngVien_PhongVan'!$B:$B,0))=0,"",INDEX('01_UngVien_PhongVan'!$M:$M,MATCH($B129,'01_UngVien_PhongVan'!$B:$B,0))),""))</f>
      </c>
      <c r="O129" s="60">
        <f t="array" ref="O129">IF($B129="","",IFERROR(IF(INDEX('01_UngVien_PhongVan'!$N:$N,MATCH($B129,'01_UngVien_PhongVan'!$B:$B,0))=0,"",INDEX('01_UngVien_PhongVan'!$N:$N,MATCH($B129,'01_UngVien_PhongVan'!$B:$B,0))),""))</f>
      </c>
      <c r="P129" s="60">
        <f t="array" ref="P129">IF($B129="","",IFERROR(IF(INDEX('01_UngVien_PhongVan'!$O:$O,MATCH($B129,'01_UngVien_PhongVan'!$B:$B,0))=0,"",INDEX('01_UngVien_PhongVan'!$O:$O,MATCH($B129,'01_UngVien_PhongVan'!$B:$B,0))),""))</f>
      </c>
      <c r="Q129" s="60">
        <f t="array" ref="Q129">IF($B129="","",IFERROR(IF(INDEX('01_UngVien_PhongVan'!$P:$P,MATCH($B129,'01_UngVien_PhongVan'!$B:$B,0))=0,"",INDEX('01_UngVien_PhongVan'!$P:$P,MATCH($B129,'01_UngVien_PhongVan'!$B:$B,0))),""))</f>
      </c>
      <c r="R129" s="60">
        <f t="array" ref="R129">IF($B129="","",IFERROR(IF(INDEX('01_UngVien_PhongVan'!$Q:$Q,MATCH($B129,'01_UngVien_PhongVan'!$B:$B,0))=0,"",INDEX('01_UngVien_PhongVan'!$Q:$Q,MATCH($B129,'01_UngVien_PhongVan'!$B:$B,0))),""))</f>
      </c>
      <c r="S129" s="60">
        <f t="array" ref="S129">IF($B129="","",IFERROR(IF(INDEX('01_UngVien_PhongVan'!$R:$R,MATCH($B129,'01_UngVien_PhongVan'!$B:$B,0))=0,"",INDEX('01_UngVien_PhongVan'!$R:$R,MATCH($B129,'01_UngVien_PhongVan'!$B:$B,0))),""))</f>
      </c>
      <c r="T129" s="60">
        <f t="array" ref="T129">IF($B129="","",IFERROR(IF(INDEX('01_UngVien_PhongVan'!$U:$U,MATCH($B129,'01_UngVien_PhongVan'!$B:$B,0))=0,"",INDEX('01_UngVien_PhongVan'!$U:$U,MATCH($B129,'01_UngVien_PhongVan'!$B:$B,0))),""))</f>
      </c>
      <c r="U129" s="73">
        <f t="array" ref="U129">IF($B129="","",IFERROR(IF(INDEX('01_UngVien_PhongVan'!$C:$C,MATCH($B129,'01_UngVien_PhongVan'!$B:$B,0))=0,"",INDEX('01_UngVien_PhongVan'!$C:$C,MATCH($B129,'01_UngVien_PhongVan'!$B:$B,0))),""))</f>
      </c>
      <c r="V129" s="73">
        <f t="array" ref="V129">IF($B129="","",IFERROR(IF(INDEX('02_DS_Nhan_Viec'!$D:$D,MATCH($B129,'02_DS_Nhan_Viec'!$B:$B,0))=0,"",INDEX('02_DS_Nhan_Viec'!$D:$D,MATCH($B129,'02_DS_Nhan_Viec'!$B:$B,0))),""))</f>
      </c>
      <c r="W129" s="73">
        <f t="array" ref="W129">IF($B129="","",IFERROR(IF(INDEX('02_DS_Nhan_Viec'!$E:$E,MATCH($B129,'02_DS_Nhan_Viec'!$B:$B,0))=0,"",INDEX('02_DS_Nhan_Viec'!$E:$E,MATCH($B129,'02_DS_Nhan_Viec'!$B:$B,0))),""))</f>
      </c>
      <c r="X129" s="73">
        <f t="array" ref="X129">IF($C129="","",IFERROR(IF(INDEX('05_Theo_Doi_Gio_Cong_7_Ngay'!$P:$P,MATCH($C129,'05_Theo_Doi_Gio_Cong_7_Ngay'!$B:$B,0))=0,"",INDEX('05_Theo_Doi_Gio_Cong_7_Ngay'!$P:$P,MATCH($C129,'05_Theo_Doi_Gio_Cong_7_Ngay'!$B:$B,0))),""))</f>
      </c>
      <c r="Y129" s="60">
        <f t="array" ref="Y129">IF($C129="","",IFERROR(IF(INDEX('05_Theo_Doi_Gio_Cong_7_Ngay'!$M:$M,MATCH($C129,'05_Theo_Doi_Gio_Cong_7_Ngay'!$B:$B,0))=0,"",INDEX('05_Theo_Doi_Gio_Cong_7_Ngay'!$M:$M,MATCH($C129,'05_Theo_Doi_Gio_Cong_7_Ngay'!$B:$B,0))),""))</f>
      </c>
      <c r="Z129" s="60">
        <f t="array" ref="Z129">IF($C129="","",IFERROR(IF(INDEX('05_Theo_Doi_Gio_Cong_7_Ngay'!$Q:$Q,MATCH($C129,'05_Theo_Doi_Gio_Cong_7_Ngay'!$B:$B,0))=0,"",INDEX('05_Theo_Doi_Gio_Cong_7_Ngay'!$Q:$Q,MATCH($C129,'05_Theo_Doi_Gio_Cong_7_Ngay'!$B:$B,0))),""))</f>
      </c>
      <c r="AA129" s="60">
        <f t="array" ref="AA129">IF($B129="","",IFERROR(IF(INDEX('02_DS_Nhan_Viec'!$H:$H,MATCH($B129,'02_DS_Nhan_Viec'!$B:$B,0))=0,"",INDEX('02_DS_Nhan_Viec'!$H:$H,MATCH($B129,'02_DS_Nhan_Viec'!$B:$B,0))),""))</f>
      </c>
      <c r="AB129" s="60">
        <f t="array" ref="AB129">IF($B129="","",IFERROR(IF(INDEX('02_DS_Nhan_Viec'!$I:$I,MATCH($B129,'02_DS_Nhan_Viec'!$B:$B,0))=0,"",INDEX('02_DS_Nhan_Viec'!$I:$I,MATCH($B129,'02_DS_Nhan_Viec'!$B:$B,0))),""))</f>
      </c>
      <c r="AC129" s="61">
        <f t="array" ref="AC129">IF($B129="","",IF($C129="","Đang theo dõi",IF(OR(IFERROR(INDEX('05_Theo_Doi_Gio_Cong_7_Ngay'!$R:$R,MATCH($C129,'05_Theo_Doi_Gio_Cong_7_Ngay'!$B:$B,0)),"")="",IFERROR(INDEX('05_Theo_Doi_Gio_Cong_7_Ngay'!$R:$R,MATCH($C129,'05_Theo_Doi_Gio_Cong_7_Ngay'!$B:$B,0)),0)=0),"Đang theo dõi",IFERROR(INDEX('06_DS_Chinh_Thuc'!$K:$K,MATCH(IFERROR(INDEX('05_Theo_Doi_Gio_Cong_7_Ngay'!$R:$R,MATCH($C129,'05_Theo_Doi_Gio_Cong_7_Ngay'!$B:$B,0)),0),'06_DS_Chinh_Thuc'!$B:$B,0)),"Đang theo dõi"))))</f>
      </c>
    </row>
    <row r="130" ht="14.25" customHeight="1" spans="1:29" x14ac:dyDescent="0.25">
      <c r="A130" s="52">
        <f t="shared" si="0"/>
      </c>
      <c r="B130" s="52">
        <f t="array" ref="B130">IFERROR(INDEX('02_DS_Nhan_Viec'!$B:$B,MATCH(129,'02_DS_Nhan_Viec'!$M:$M,0)),"")</f>
      </c>
      <c r="C130" s="52">
        <f t="array" ref="C130">IF($B130="","",IFERROR(IF(INDEX('02_DS_Nhan_Viec'!$J:$J,MATCH($B130,'02_DS_Nhan_Viec'!$B:$B,0))=0,"",INDEX('02_DS_Nhan_Viec'!$J:$J,MATCH($B130,'02_DS_Nhan_Viec'!$B:$B,0))),""))</f>
      </c>
      <c r="D130" s="52">
        <f t="array" ref="D130">IF($C130="","",IFERROR(IF(INDEX('05_Theo_Doi_Gio_Cong_7_Ngay'!$R:$R,MATCH($C130,'05_Theo_Doi_Gio_Cong_7_Ngay'!$B:$B,0))=0,"",INDEX('05_Theo_Doi_Gio_Cong_7_Ngay'!$R:$R,MATCH($C130,'05_Theo_Doi_Gio_Cong_7_Ngay'!$B:$B,0))),""))</f>
      </c>
      <c r="E130" s="60">
        <f t="array" ref="E130">IF($B130="","",IFERROR(IF(INDEX('01_UngVien_PhongVan'!$D:$D,MATCH($B130,'01_UngVien_PhongVan'!$B:$B,0))=0,"",INDEX('01_UngVien_PhongVan'!$D:$D,MATCH($B130,'01_UngVien_PhongVan'!$B:$B,0))),""))</f>
      </c>
      <c r="F130" s="52">
        <f t="array" ref="F130">IF($B130="","",IFERROR(IF(INDEX('01_UngVien_PhongVan'!$F:$F,MATCH($B130,'01_UngVien_PhongVan'!$B:$B,0))=0,"",INDEX('01_UngVien_PhongVan'!$F:$F,MATCH($B130,'01_UngVien_PhongVan'!$B:$B,0))),""))</f>
      </c>
      <c r="G130" s="72">
        <f t="array" ref="G130">IF($B130="","",IFERROR(IF(INDEX('01_UngVien_PhongVan'!$G:$G,MATCH($B130,'01_UngVien_PhongVan'!$B:$B,0))=0,"",INDEX('01_UngVien_PhongVan'!$G:$G,MATCH($B130,'01_UngVien_PhongVan'!$B:$B,0))),""))</f>
      </c>
      <c r="H130" s="52">
        <f t="array" ref="H130">IF($B130="","",IFERROR(IF(INDEX('01_UngVien_PhongVan'!$H:$H,MATCH($B130,'01_UngVien_PhongVan'!$B:$B,0))=0,"",INDEX('01_UngVien_PhongVan'!$H:$H,MATCH($B130,'01_UngVien_PhongVan'!$B:$B,0))),""))</f>
      </c>
      <c r="I130" s="60">
        <f t="array" ref="I130">IF($B130="","",IFERROR(IF(INDEX('01_UngVien_PhongVan'!$I:$I,MATCH($B130,'01_UngVien_PhongVan'!$B:$B,0))=0,"",INDEX('01_UngVien_PhongVan'!$I:$I,MATCH($B130,'01_UngVien_PhongVan'!$B:$B,0))),""))</f>
      </c>
      <c r="J130" s="60">
        <f t="array" ref="J130">IF($B130="","",IFERROR(IF(INDEX('01_UngVien_PhongVan'!$J:$J,MATCH($B130,'01_UngVien_PhongVan'!$B:$B,0))=0,"",INDEX('01_UngVien_PhongVan'!$J:$J,MATCH($B130,'01_UngVien_PhongVan'!$B:$B,0))),""))</f>
      </c>
      <c r="K130" s="73">
        <f t="array" ref="K130">IF($B130="","",IFERROR(IF(INDEX('01_UngVien_PhongVan'!$K:$K,MATCH($B130,'01_UngVien_PhongVan'!$B:$B,0))=0,"",INDEX('01_UngVien_PhongVan'!$K:$K,MATCH($B130,'01_UngVien_PhongVan'!$B:$B,0))),""))</f>
      </c>
      <c r="L130" s="60">
        <f t="array" ref="L130">IF($B130="","",IFERROR(IF(INDEX('01_UngVien_PhongVan'!$L:$L,MATCH($B130,'01_UngVien_PhongVan'!$B:$B,0))=0,"",INDEX('01_UngVien_PhongVan'!$L:$L,MATCH($B130,'01_UngVien_PhongVan'!$B:$B,0))),""))</f>
      </c>
      <c r="M130" s="60">
        <f t="array" ref="M130">IF($B130="","",IFERROR(IF(INDEX('01_UngVien_PhongVan'!$E:$E,MATCH($B130,'01_UngVien_PhongVan'!$B:$B,0))=0,"",INDEX('01_UngVien_PhongVan'!$E:$E,MATCH($B130,'01_UngVien_PhongVan'!$B:$B,0))),""))</f>
      </c>
      <c r="N130" s="60">
        <f t="array" ref="N130">IF($B130="","",IFERROR(IF(INDEX('01_UngVien_PhongVan'!$M:$M,MATCH($B130,'01_UngVien_PhongVan'!$B:$B,0))=0,"",INDEX('01_UngVien_PhongVan'!$M:$M,MATCH($B130,'01_UngVien_PhongVan'!$B:$B,0))),""))</f>
      </c>
      <c r="O130" s="60">
        <f t="array" ref="O130">IF($B130="","",IFERROR(IF(INDEX('01_UngVien_PhongVan'!$N:$N,MATCH($B130,'01_UngVien_PhongVan'!$B:$B,0))=0,"",INDEX('01_UngVien_PhongVan'!$N:$N,MATCH($B130,'01_UngVien_PhongVan'!$B:$B,0))),""))</f>
      </c>
      <c r="P130" s="60">
        <f t="array" ref="P130">IF($B130="","",IFERROR(IF(INDEX('01_UngVien_PhongVan'!$O:$O,MATCH($B130,'01_UngVien_PhongVan'!$B:$B,0))=0,"",INDEX('01_UngVien_PhongVan'!$O:$O,MATCH($B130,'01_UngVien_PhongVan'!$B:$B,0))),""))</f>
      </c>
      <c r="Q130" s="60">
        <f t="array" ref="Q130">IF($B130="","",IFERROR(IF(INDEX('01_UngVien_PhongVan'!$P:$P,MATCH($B130,'01_UngVien_PhongVan'!$B:$B,0))=0,"",INDEX('01_UngVien_PhongVan'!$P:$P,MATCH($B130,'01_UngVien_PhongVan'!$B:$B,0))),""))</f>
      </c>
      <c r="R130" s="60">
        <f t="array" ref="R130">IF($B130="","",IFERROR(IF(INDEX('01_UngVien_PhongVan'!$Q:$Q,MATCH($B130,'01_UngVien_PhongVan'!$B:$B,0))=0,"",INDEX('01_UngVien_PhongVan'!$Q:$Q,MATCH($B130,'01_UngVien_PhongVan'!$B:$B,0))),""))</f>
      </c>
      <c r="S130" s="60">
        <f t="array" ref="S130">IF($B130="","",IFERROR(IF(INDEX('01_UngVien_PhongVan'!$R:$R,MATCH($B130,'01_UngVien_PhongVan'!$B:$B,0))=0,"",INDEX('01_UngVien_PhongVan'!$R:$R,MATCH($B130,'01_UngVien_PhongVan'!$B:$B,0))),""))</f>
      </c>
      <c r="T130" s="60">
        <f t="array" ref="T130">IF($B130="","",IFERROR(IF(INDEX('01_UngVien_PhongVan'!$U:$U,MATCH($B130,'01_UngVien_PhongVan'!$B:$B,0))=0,"",INDEX('01_UngVien_PhongVan'!$U:$U,MATCH($B130,'01_UngVien_PhongVan'!$B:$B,0))),""))</f>
      </c>
      <c r="U130" s="73">
        <f t="array" ref="U130">IF($B130="","",IFERROR(IF(INDEX('01_UngVien_PhongVan'!$C:$C,MATCH($B130,'01_UngVien_PhongVan'!$B:$B,0))=0,"",INDEX('01_UngVien_PhongVan'!$C:$C,MATCH($B130,'01_UngVien_PhongVan'!$B:$B,0))),""))</f>
      </c>
      <c r="V130" s="73">
        <f t="array" ref="V130">IF($B130="","",IFERROR(IF(INDEX('02_DS_Nhan_Viec'!$D:$D,MATCH($B130,'02_DS_Nhan_Viec'!$B:$B,0))=0,"",INDEX('02_DS_Nhan_Viec'!$D:$D,MATCH($B130,'02_DS_Nhan_Viec'!$B:$B,0))),""))</f>
      </c>
      <c r="W130" s="73">
        <f t="array" ref="W130">IF($B130="","",IFERROR(IF(INDEX('02_DS_Nhan_Viec'!$E:$E,MATCH($B130,'02_DS_Nhan_Viec'!$B:$B,0))=0,"",INDEX('02_DS_Nhan_Viec'!$E:$E,MATCH($B130,'02_DS_Nhan_Viec'!$B:$B,0))),""))</f>
      </c>
      <c r="X130" s="73">
        <f t="array" ref="X130">IF($C130="","",IFERROR(IF(INDEX('05_Theo_Doi_Gio_Cong_7_Ngay'!$P:$P,MATCH($C130,'05_Theo_Doi_Gio_Cong_7_Ngay'!$B:$B,0))=0,"",INDEX('05_Theo_Doi_Gio_Cong_7_Ngay'!$P:$P,MATCH($C130,'05_Theo_Doi_Gio_Cong_7_Ngay'!$B:$B,0))),""))</f>
      </c>
      <c r="Y130" s="60">
        <f t="array" ref="Y130">IF($C130="","",IFERROR(IF(INDEX('05_Theo_Doi_Gio_Cong_7_Ngay'!$M:$M,MATCH($C130,'05_Theo_Doi_Gio_Cong_7_Ngay'!$B:$B,0))=0,"",INDEX('05_Theo_Doi_Gio_Cong_7_Ngay'!$M:$M,MATCH($C130,'05_Theo_Doi_Gio_Cong_7_Ngay'!$B:$B,0))),""))</f>
      </c>
      <c r="Z130" s="60">
        <f t="array" ref="Z130">IF($C130="","",IFERROR(IF(INDEX('05_Theo_Doi_Gio_Cong_7_Ngay'!$Q:$Q,MATCH($C130,'05_Theo_Doi_Gio_Cong_7_Ngay'!$B:$B,0))=0,"",INDEX('05_Theo_Doi_Gio_Cong_7_Ngay'!$Q:$Q,MATCH($C130,'05_Theo_Doi_Gio_Cong_7_Ngay'!$B:$B,0))),""))</f>
      </c>
      <c r="AA130" s="60">
        <f t="array" ref="AA130">IF($B130="","",IFERROR(IF(INDEX('02_DS_Nhan_Viec'!$H:$H,MATCH($B130,'02_DS_Nhan_Viec'!$B:$B,0))=0,"",INDEX('02_DS_Nhan_Viec'!$H:$H,MATCH($B130,'02_DS_Nhan_Viec'!$B:$B,0))),""))</f>
      </c>
      <c r="AB130" s="60">
        <f t="array" ref="AB130">IF($B130="","",IFERROR(IF(INDEX('02_DS_Nhan_Viec'!$I:$I,MATCH($B130,'02_DS_Nhan_Viec'!$B:$B,0))=0,"",INDEX('02_DS_Nhan_Viec'!$I:$I,MATCH($B130,'02_DS_Nhan_Viec'!$B:$B,0))),""))</f>
      </c>
      <c r="AC130" s="61">
        <f t="array" ref="AC130">IF($B130="","",IF($C130="","Đang theo dõi",IF(OR(IFERROR(INDEX('05_Theo_Doi_Gio_Cong_7_Ngay'!$R:$R,MATCH($C130,'05_Theo_Doi_Gio_Cong_7_Ngay'!$B:$B,0)),"")="",IFERROR(INDEX('05_Theo_Doi_Gio_Cong_7_Ngay'!$R:$R,MATCH($C130,'05_Theo_Doi_Gio_Cong_7_Ngay'!$B:$B,0)),0)=0),"Đang theo dõi",IFERROR(INDEX('06_DS_Chinh_Thuc'!$K:$K,MATCH(IFERROR(INDEX('05_Theo_Doi_Gio_Cong_7_Ngay'!$R:$R,MATCH($C130,'05_Theo_Doi_Gio_Cong_7_Ngay'!$B:$B,0)),0),'06_DS_Chinh_Thuc'!$B:$B,0)),"Đang theo dõi"))))</f>
      </c>
    </row>
    <row r="131" ht="14.25" customHeight="1" spans="1:29" x14ac:dyDescent="0.25">
      <c r="A131" s="52">
        <f t="shared" si="0"/>
      </c>
      <c r="B131" s="52">
        <f t="array" ref="B131">IFERROR(INDEX('02_DS_Nhan_Viec'!$B:$B,MATCH(130,'02_DS_Nhan_Viec'!$M:$M,0)),"")</f>
      </c>
      <c r="C131" s="52">
        <f t="array" ref="C131">IF($B131="","",IFERROR(IF(INDEX('02_DS_Nhan_Viec'!$J:$J,MATCH($B131,'02_DS_Nhan_Viec'!$B:$B,0))=0,"",INDEX('02_DS_Nhan_Viec'!$J:$J,MATCH($B131,'02_DS_Nhan_Viec'!$B:$B,0))),""))</f>
      </c>
      <c r="D131" s="52">
        <f t="array" ref="D131">IF($C131="","",IFERROR(IF(INDEX('05_Theo_Doi_Gio_Cong_7_Ngay'!$R:$R,MATCH($C131,'05_Theo_Doi_Gio_Cong_7_Ngay'!$B:$B,0))=0,"",INDEX('05_Theo_Doi_Gio_Cong_7_Ngay'!$R:$R,MATCH($C131,'05_Theo_Doi_Gio_Cong_7_Ngay'!$B:$B,0))),""))</f>
      </c>
      <c r="E131" s="60">
        <f t="array" ref="E131">IF($B131="","",IFERROR(IF(INDEX('01_UngVien_PhongVan'!$D:$D,MATCH($B131,'01_UngVien_PhongVan'!$B:$B,0))=0,"",INDEX('01_UngVien_PhongVan'!$D:$D,MATCH($B131,'01_UngVien_PhongVan'!$B:$B,0))),""))</f>
      </c>
      <c r="F131" s="52">
        <f t="array" ref="F131">IF($B131="","",IFERROR(IF(INDEX('01_UngVien_PhongVan'!$F:$F,MATCH($B131,'01_UngVien_PhongVan'!$B:$B,0))=0,"",INDEX('01_UngVien_PhongVan'!$F:$F,MATCH($B131,'01_UngVien_PhongVan'!$B:$B,0))),""))</f>
      </c>
      <c r="G131" s="72">
        <f t="array" ref="G131">IF($B131="","",IFERROR(IF(INDEX('01_UngVien_PhongVan'!$G:$G,MATCH($B131,'01_UngVien_PhongVan'!$B:$B,0))=0,"",INDEX('01_UngVien_PhongVan'!$G:$G,MATCH($B131,'01_UngVien_PhongVan'!$B:$B,0))),""))</f>
      </c>
      <c r="H131" s="52">
        <f t="array" ref="H131">IF($B131="","",IFERROR(IF(INDEX('01_UngVien_PhongVan'!$H:$H,MATCH($B131,'01_UngVien_PhongVan'!$B:$B,0))=0,"",INDEX('01_UngVien_PhongVan'!$H:$H,MATCH($B131,'01_UngVien_PhongVan'!$B:$B,0))),""))</f>
      </c>
      <c r="I131" s="60">
        <f t="array" ref="I131">IF($B131="","",IFERROR(IF(INDEX('01_UngVien_PhongVan'!$I:$I,MATCH($B131,'01_UngVien_PhongVan'!$B:$B,0))=0,"",INDEX('01_UngVien_PhongVan'!$I:$I,MATCH($B131,'01_UngVien_PhongVan'!$B:$B,0))),""))</f>
      </c>
      <c r="J131" s="60">
        <f t="array" ref="J131">IF($B131="","",IFERROR(IF(INDEX('01_UngVien_PhongVan'!$J:$J,MATCH($B131,'01_UngVien_PhongVan'!$B:$B,0))=0,"",INDEX('01_UngVien_PhongVan'!$J:$J,MATCH($B131,'01_UngVien_PhongVan'!$B:$B,0))),""))</f>
      </c>
      <c r="K131" s="73">
        <f t="array" ref="K131">IF($B131="","",IFERROR(IF(INDEX('01_UngVien_PhongVan'!$K:$K,MATCH($B131,'01_UngVien_PhongVan'!$B:$B,0))=0,"",INDEX('01_UngVien_PhongVan'!$K:$K,MATCH($B131,'01_UngVien_PhongVan'!$B:$B,0))),""))</f>
      </c>
      <c r="L131" s="60">
        <f t="array" ref="L131">IF($B131="","",IFERROR(IF(INDEX('01_UngVien_PhongVan'!$L:$L,MATCH($B131,'01_UngVien_PhongVan'!$B:$B,0))=0,"",INDEX('01_UngVien_PhongVan'!$L:$L,MATCH($B131,'01_UngVien_PhongVan'!$B:$B,0))),""))</f>
      </c>
      <c r="M131" s="60">
        <f t="array" ref="M131">IF($B131="","",IFERROR(IF(INDEX('01_UngVien_PhongVan'!$E:$E,MATCH($B131,'01_UngVien_PhongVan'!$B:$B,0))=0,"",INDEX('01_UngVien_PhongVan'!$E:$E,MATCH($B131,'01_UngVien_PhongVan'!$B:$B,0))),""))</f>
      </c>
      <c r="N131" s="60">
        <f t="array" ref="N131">IF($B131="","",IFERROR(IF(INDEX('01_UngVien_PhongVan'!$M:$M,MATCH($B131,'01_UngVien_PhongVan'!$B:$B,0))=0,"",INDEX('01_UngVien_PhongVan'!$M:$M,MATCH($B131,'01_UngVien_PhongVan'!$B:$B,0))),""))</f>
      </c>
      <c r="O131" s="60">
        <f t="array" ref="O131">IF($B131="","",IFERROR(IF(INDEX('01_UngVien_PhongVan'!$N:$N,MATCH($B131,'01_UngVien_PhongVan'!$B:$B,0))=0,"",INDEX('01_UngVien_PhongVan'!$N:$N,MATCH($B131,'01_UngVien_PhongVan'!$B:$B,0))),""))</f>
      </c>
      <c r="P131" s="60">
        <f t="array" ref="P131">IF($B131="","",IFERROR(IF(INDEX('01_UngVien_PhongVan'!$O:$O,MATCH($B131,'01_UngVien_PhongVan'!$B:$B,0))=0,"",INDEX('01_UngVien_PhongVan'!$O:$O,MATCH($B131,'01_UngVien_PhongVan'!$B:$B,0))),""))</f>
      </c>
      <c r="Q131" s="60">
        <f t="array" ref="Q131">IF($B131="","",IFERROR(IF(INDEX('01_UngVien_PhongVan'!$P:$P,MATCH($B131,'01_UngVien_PhongVan'!$B:$B,0))=0,"",INDEX('01_UngVien_PhongVan'!$P:$P,MATCH($B131,'01_UngVien_PhongVan'!$B:$B,0))),""))</f>
      </c>
      <c r="R131" s="60">
        <f t="array" ref="R131">IF($B131="","",IFERROR(IF(INDEX('01_UngVien_PhongVan'!$Q:$Q,MATCH($B131,'01_UngVien_PhongVan'!$B:$B,0))=0,"",INDEX('01_UngVien_PhongVan'!$Q:$Q,MATCH($B131,'01_UngVien_PhongVan'!$B:$B,0))),""))</f>
      </c>
      <c r="S131" s="60">
        <f t="array" ref="S131">IF($B131="","",IFERROR(IF(INDEX('01_UngVien_PhongVan'!$R:$R,MATCH($B131,'01_UngVien_PhongVan'!$B:$B,0))=0,"",INDEX('01_UngVien_PhongVan'!$R:$R,MATCH($B131,'01_UngVien_PhongVan'!$B:$B,0))),""))</f>
      </c>
      <c r="T131" s="60">
        <f t="array" ref="T131">IF($B131="","",IFERROR(IF(INDEX('01_UngVien_PhongVan'!$U:$U,MATCH($B131,'01_UngVien_PhongVan'!$B:$B,0))=0,"",INDEX('01_UngVien_PhongVan'!$U:$U,MATCH($B131,'01_UngVien_PhongVan'!$B:$B,0))),""))</f>
      </c>
      <c r="U131" s="73">
        <f t="array" ref="U131">IF($B131="","",IFERROR(IF(INDEX('01_UngVien_PhongVan'!$C:$C,MATCH($B131,'01_UngVien_PhongVan'!$B:$B,0))=0,"",INDEX('01_UngVien_PhongVan'!$C:$C,MATCH($B131,'01_UngVien_PhongVan'!$B:$B,0))),""))</f>
      </c>
      <c r="V131" s="73">
        <f t="array" ref="V131">IF($B131="","",IFERROR(IF(INDEX('02_DS_Nhan_Viec'!$D:$D,MATCH($B131,'02_DS_Nhan_Viec'!$B:$B,0))=0,"",INDEX('02_DS_Nhan_Viec'!$D:$D,MATCH($B131,'02_DS_Nhan_Viec'!$B:$B,0))),""))</f>
      </c>
      <c r="W131" s="73">
        <f t="array" ref="W131">IF($B131="","",IFERROR(IF(INDEX('02_DS_Nhan_Viec'!$E:$E,MATCH($B131,'02_DS_Nhan_Viec'!$B:$B,0))=0,"",INDEX('02_DS_Nhan_Viec'!$E:$E,MATCH($B131,'02_DS_Nhan_Viec'!$B:$B,0))),""))</f>
      </c>
      <c r="X131" s="73">
        <f t="array" ref="X131">IF($C131="","",IFERROR(IF(INDEX('05_Theo_Doi_Gio_Cong_7_Ngay'!$P:$P,MATCH($C131,'05_Theo_Doi_Gio_Cong_7_Ngay'!$B:$B,0))=0,"",INDEX('05_Theo_Doi_Gio_Cong_7_Ngay'!$P:$P,MATCH($C131,'05_Theo_Doi_Gio_Cong_7_Ngay'!$B:$B,0))),""))</f>
      </c>
      <c r="Y131" s="60">
        <f t="array" ref="Y131">IF($C131="","",IFERROR(IF(INDEX('05_Theo_Doi_Gio_Cong_7_Ngay'!$M:$M,MATCH($C131,'05_Theo_Doi_Gio_Cong_7_Ngay'!$B:$B,0))=0,"",INDEX('05_Theo_Doi_Gio_Cong_7_Ngay'!$M:$M,MATCH($C131,'05_Theo_Doi_Gio_Cong_7_Ngay'!$B:$B,0))),""))</f>
      </c>
      <c r="Z131" s="60">
        <f t="array" ref="Z131">IF($C131="","",IFERROR(IF(INDEX('05_Theo_Doi_Gio_Cong_7_Ngay'!$Q:$Q,MATCH($C131,'05_Theo_Doi_Gio_Cong_7_Ngay'!$B:$B,0))=0,"",INDEX('05_Theo_Doi_Gio_Cong_7_Ngay'!$Q:$Q,MATCH($C131,'05_Theo_Doi_Gio_Cong_7_Ngay'!$B:$B,0))),""))</f>
      </c>
      <c r="AA131" s="60">
        <f t="array" ref="AA131">IF($B131="","",IFERROR(IF(INDEX('02_DS_Nhan_Viec'!$H:$H,MATCH($B131,'02_DS_Nhan_Viec'!$B:$B,0))=0,"",INDEX('02_DS_Nhan_Viec'!$H:$H,MATCH($B131,'02_DS_Nhan_Viec'!$B:$B,0))),""))</f>
      </c>
      <c r="AB131" s="60">
        <f t="array" ref="AB131">IF($B131="","",IFERROR(IF(INDEX('02_DS_Nhan_Viec'!$I:$I,MATCH($B131,'02_DS_Nhan_Viec'!$B:$B,0))=0,"",INDEX('02_DS_Nhan_Viec'!$I:$I,MATCH($B131,'02_DS_Nhan_Viec'!$B:$B,0))),""))</f>
      </c>
      <c r="AC131" s="61">
        <f t="array" ref="AC131">IF($B131="","",IF($C131="","Đang theo dõi",IF(OR(IFERROR(INDEX('05_Theo_Doi_Gio_Cong_7_Ngay'!$R:$R,MATCH($C131,'05_Theo_Doi_Gio_Cong_7_Ngay'!$B:$B,0)),"")="",IFERROR(INDEX('05_Theo_Doi_Gio_Cong_7_Ngay'!$R:$R,MATCH($C131,'05_Theo_Doi_Gio_Cong_7_Ngay'!$B:$B,0)),0)=0),"Đang theo dõi",IFERROR(INDEX('06_DS_Chinh_Thuc'!$K:$K,MATCH(IFERROR(INDEX('05_Theo_Doi_Gio_Cong_7_Ngay'!$R:$R,MATCH($C131,'05_Theo_Doi_Gio_Cong_7_Ngay'!$B:$B,0)),0),'06_DS_Chinh_Thuc'!$B:$B,0)),"Đang theo dõi"))))</f>
      </c>
    </row>
    <row r="132" ht="14.25" customHeight="1" spans="1:29" x14ac:dyDescent="0.25">
      <c r="A132" s="52">
        <f t="shared" si="0"/>
      </c>
      <c r="B132" s="52">
        <f t="array" ref="B132">IFERROR(INDEX('02_DS_Nhan_Viec'!$B:$B,MATCH(131,'02_DS_Nhan_Viec'!$M:$M,0)),"")</f>
      </c>
      <c r="C132" s="52">
        <f t="array" ref="C132">IF($B132="","",IFERROR(IF(INDEX('02_DS_Nhan_Viec'!$J:$J,MATCH($B132,'02_DS_Nhan_Viec'!$B:$B,0))=0,"",INDEX('02_DS_Nhan_Viec'!$J:$J,MATCH($B132,'02_DS_Nhan_Viec'!$B:$B,0))),""))</f>
      </c>
      <c r="D132" s="52">
        <f t="array" ref="D132">IF($C132="","",IFERROR(IF(INDEX('05_Theo_Doi_Gio_Cong_7_Ngay'!$R:$R,MATCH($C132,'05_Theo_Doi_Gio_Cong_7_Ngay'!$B:$B,0))=0,"",INDEX('05_Theo_Doi_Gio_Cong_7_Ngay'!$R:$R,MATCH($C132,'05_Theo_Doi_Gio_Cong_7_Ngay'!$B:$B,0))),""))</f>
      </c>
      <c r="E132" s="60">
        <f t="array" ref="E132">IF($B132="","",IFERROR(IF(INDEX('01_UngVien_PhongVan'!$D:$D,MATCH($B132,'01_UngVien_PhongVan'!$B:$B,0))=0,"",INDEX('01_UngVien_PhongVan'!$D:$D,MATCH($B132,'01_UngVien_PhongVan'!$B:$B,0))),""))</f>
      </c>
      <c r="F132" s="52">
        <f t="array" ref="F132">IF($B132="","",IFERROR(IF(INDEX('01_UngVien_PhongVan'!$F:$F,MATCH($B132,'01_UngVien_PhongVan'!$B:$B,0))=0,"",INDEX('01_UngVien_PhongVan'!$F:$F,MATCH($B132,'01_UngVien_PhongVan'!$B:$B,0))),""))</f>
      </c>
      <c r="G132" s="72">
        <f t="array" ref="G132">IF($B132="","",IFERROR(IF(INDEX('01_UngVien_PhongVan'!$G:$G,MATCH($B132,'01_UngVien_PhongVan'!$B:$B,0))=0,"",INDEX('01_UngVien_PhongVan'!$G:$G,MATCH($B132,'01_UngVien_PhongVan'!$B:$B,0))),""))</f>
      </c>
      <c r="H132" s="52">
        <f t="array" ref="H132">IF($B132="","",IFERROR(IF(INDEX('01_UngVien_PhongVan'!$H:$H,MATCH($B132,'01_UngVien_PhongVan'!$B:$B,0))=0,"",INDEX('01_UngVien_PhongVan'!$H:$H,MATCH($B132,'01_UngVien_PhongVan'!$B:$B,0))),""))</f>
      </c>
      <c r="I132" s="60">
        <f t="array" ref="I132">IF($B132="","",IFERROR(IF(INDEX('01_UngVien_PhongVan'!$I:$I,MATCH($B132,'01_UngVien_PhongVan'!$B:$B,0))=0,"",INDEX('01_UngVien_PhongVan'!$I:$I,MATCH($B132,'01_UngVien_PhongVan'!$B:$B,0))),""))</f>
      </c>
      <c r="J132" s="60">
        <f t="array" ref="J132">IF($B132="","",IFERROR(IF(INDEX('01_UngVien_PhongVan'!$J:$J,MATCH($B132,'01_UngVien_PhongVan'!$B:$B,0))=0,"",INDEX('01_UngVien_PhongVan'!$J:$J,MATCH($B132,'01_UngVien_PhongVan'!$B:$B,0))),""))</f>
      </c>
      <c r="K132" s="73">
        <f t="array" ref="K132">IF($B132="","",IFERROR(IF(INDEX('01_UngVien_PhongVan'!$K:$K,MATCH($B132,'01_UngVien_PhongVan'!$B:$B,0))=0,"",INDEX('01_UngVien_PhongVan'!$K:$K,MATCH($B132,'01_UngVien_PhongVan'!$B:$B,0))),""))</f>
      </c>
      <c r="L132" s="60">
        <f t="array" ref="L132">IF($B132="","",IFERROR(IF(INDEX('01_UngVien_PhongVan'!$L:$L,MATCH($B132,'01_UngVien_PhongVan'!$B:$B,0))=0,"",INDEX('01_UngVien_PhongVan'!$L:$L,MATCH($B132,'01_UngVien_PhongVan'!$B:$B,0))),""))</f>
      </c>
      <c r="M132" s="60">
        <f t="array" ref="M132">IF($B132="","",IFERROR(IF(INDEX('01_UngVien_PhongVan'!$E:$E,MATCH($B132,'01_UngVien_PhongVan'!$B:$B,0))=0,"",INDEX('01_UngVien_PhongVan'!$E:$E,MATCH($B132,'01_UngVien_PhongVan'!$B:$B,0))),""))</f>
      </c>
      <c r="N132" s="60">
        <f t="array" ref="N132">IF($B132="","",IFERROR(IF(INDEX('01_UngVien_PhongVan'!$M:$M,MATCH($B132,'01_UngVien_PhongVan'!$B:$B,0))=0,"",INDEX('01_UngVien_PhongVan'!$M:$M,MATCH($B132,'01_UngVien_PhongVan'!$B:$B,0))),""))</f>
      </c>
      <c r="O132" s="60">
        <f t="array" ref="O132">IF($B132="","",IFERROR(IF(INDEX('01_UngVien_PhongVan'!$N:$N,MATCH($B132,'01_UngVien_PhongVan'!$B:$B,0))=0,"",INDEX('01_UngVien_PhongVan'!$N:$N,MATCH($B132,'01_UngVien_PhongVan'!$B:$B,0))),""))</f>
      </c>
      <c r="P132" s="60">
        <f t="array" ref="P132">IF($B132="","",IFERROR(IF(INDEX('01_UngVien_PhongVan'!$O:$O,MATCH($B132,'01_UngVien_PhongVan'!$B:$B,0))=0,"",INDEX('01_UngVien_PhongVan'!$O:$O,MATCH($B132,'01_UngVien_PhongVan'!$B:$B,0))),""))</f>
      </c>
      <c r="Q132" s="60">
        <f t="array" ref="Q132">IF($B132="","",IFERROR(IF(INDEX('01_UngVien_PhongVan'!$P:$P,MATCH($B132,'01_UngVien_PhongVan'!$B:$B,0))=0,"",INDEX('01_UngVien_PhongVan'!$P:$P,MATCH($B132,'01_UngVien_PhongVan'!$B:$B,0))),""))</f>
      </c>
      <c r="R132" s="60">
        <f t="array" ref="R132">IF($B132="","",IFERROR(IF(INDEX('01_UngVien_PhongVan'!$Q:$Q,MATCH($B132,'01_UngVien_PhongVan'!$B:$B,0))=0,"",INDEX('01_UngVien_PhongVan'!$Q:$Q,MATCH($B132,'01_UngVien_PhongVan'!$B:$B,0))),""))</f>
      </c>
      <c r="S132" s="60">
        <f t="array" ref="S132">IF($B132="","",IFERROR(IF(INDEX('01_UngVien_PhongVan'!$R:$R,MATCH($B132,'01_UngVien_PhongVan'!$B:$B,0))=0,"",INDEX('01_UngVien_PhongVan'!$R:$R,MATCH($B132,'01_UngVien_PhongVan'!$B:$B,0))),""))</f>
      </c>
      <c r="T132" s="60">
        <f t="array" ref="T132">IF($B132="","",IFERROR(IF(INDEX('01_UngVien_PhongVan'!$U:$U,MATCH($B132,'01_UngVien_PhongVan'!$B:$B,0))=0,"",INDEX('01_UngVien_PhongVan'!$U:$U,MATCH($B132,'01_UngVien_PhongVan'!$B:$B,0))),""))</f>
      </c>
      <c r="U132" s="73">
        <f t="array" ref="U132">IF($B132="","",IFERROR(IF(INDEX('01_UngVien_PhongVan'!$C:$C,MATCH($B132,'01_UngVien_PhongVan'!$B:$B,0))=0,"",INDEX('01_UngVien_PhongVan'!$C:$C,MATCH($B132,'01_UngVien_PhongVan'!$B:$B,0))),""))</f>
      </c>
      <c r="V132" s="73">
        <f t="array" ref="V132">IF($B132="","",IFERROR(IF(INDEX('02_DS_Nhan_Viec'!$D:$D,MATCH($B132,'02_DS_Nhan_Viec'!$B:$B,0))=0,"",INDEX('02_DS_Nhan_Viec'!$D:$D,MATCH($B132,'02_DS_Nhan_Viec'!$B:$B,0))),""))</f>
      </c>
      <c r="W132" s="73">
        <f t="array" ref="W132">IF($B132="","",IFERROR(IF(INDEX('02_DS_Nhan_Viec'!$E:$E,MATCH($B132,'02_DS_Nhan_Viec'!$B:$B,0))=0,"",INDEX('02_DS_Nhan_Viec'!$E:$E,MATCH($B132,'02_DS_Nhan_Viec'!$B:$B,0))),""))</f>
      </c>
      <c r="X132" s="73">
        <f t="array" ref="X132">IF($C132="","",IFERROR(IF(INDEX('05_Theo_Doi_Gio_Cong_7_Ngay'!$P:$P,MATCH($C132,'05_Theo_Doi_Gio_Cong_7_Ngay'!$B:$B,0))=0,"",INDEX('05_Theo_Doi_Gio_Cong_7_Ngay'!$P:$P,MATCH($C132,'05_Theo_Doi_Gio_Cong_7_Ngay'!$B:$B,0))),""))</f>
      </c>
      <c r="Y132" s="60">
        <f t="array" ref="Y132">IF($C132="","",IFERROR(IF(INDEX('05_Theo_Doi_Gio_Cong_7_Ngay'!$M:$M,MATCH($C132,'05_Theo_Doi_Gio_Cong_7_Ngay'!$B:$B,0))=0,"",INDEX('05_Theo_Doi_Gio_Cong_7_Ngay'!$M:$M,MATCH($C132,'05_Theo_Doi_Gio_Cong_7_Ngay'!$B:$B,0))),""))</f>
      </c>
      <c r="Z132" s="60">
        <f t="array" ref="Z132">IF($C132="","",IFERROR(IF(INDEX('05_Theo_Doi_Gio_Cong_7_Ngay'!$Q:$Q,MATCH($C132,'05_Theo_Doi_Gio_Cong_7_Ngay'!$B:$B,0))=0,"",INDEX('05_Theo_Doi_Gio_Cong_7_Ngay'!$Q:$Q,MATCH($C132,'05_Theo_Doi_Gio_Cong_7_Ngay'!$B:$B,0))),""))</f>
      </c>
      <c r="AA132" s="60">
        <f t="array" ref="AA132">IF($B132="","",IFERROR(IF(INDEX('02_DS_Nhan_Viec'!$H:$H,MATCH($B132,'02_DS_Nhan_Viec'!$B:$B,0))=0,"",INDEX('02_DS_Nhan_Viec'!$H:$H,MATCH($B132,'02_DS_Nhan_Viec'!$B:$B,0))),""))</f>
      </c>
      <c r="AB132" s="60">
        <f t="array" ref="AB132">IF($B132="","",IFERROR(IF(INDEX('02_DS_Nhan_Viec'!$I:$I,MATCH($B132,'02_DS_Nhan_Viec'!$B:$B,0))=0,"",INDEX('02_DS_Nhan_Viec'!$I:$I,MATCH($B132,'02_DS_Nhan_Viec'!$B:$B,0))),""))</f>
      </c>
      <c r="AC132" s="61">
        <f t="array" ref="AC132">IF($B132="","",IF($C132="","Đang theo dõi",IF(OR(IFERROR(INDEX('05_Theo_Doi_Gio_Cong_7_Ngay'!$R:$R,MATCH($C132,'05_Theo_Doi_Gio_Cong_7_Ngay'!$B:$B,0)),"")="",IFERROR(INDEX('05_Theo_Doi_Gio_Cong_7_Ngay'!$R:$R,MATCH($C132,'05_Theo_Doi_Gio_Cong_7_Ngay'!$B:$B,0)),0)=0),"Đang theo dõi",IFERROR(INDEX('06_DS_Chinh_Thuc'!$K:$K,MATCH(IFERROR(INDEX('05_Theo_Doi_Gio_Cong_7_Ngay'!$R:$R,MATCH($C132,'05_Theo_Doi_Gio_Cong_7_Ngay'!$B:$B,0)),0),'06_DS_Chinh_Thuc'!$B:$B,0)),"Đang theo dõi"))))</f>
      </c>
    </row>
    <row r="133" ht="14.25" customHeight="1" spans="1:29" x14ac:dyDescent="0.25">
      <c r="A133" s="52">
        <f t="shared" si="0"/>
      </c>
      <c r="B133" s="52">
        <f t="array" ref="B133">IFERROR(INDEX('02_DS_Nhan_Viec'!$B:$B,MATCH(132,'02_DS_Nhan_Viec'!$M:$M,0)),"")</f>
      </c>
      <c r="C133" s="52">
        <f t="array" ref="C133">IF($B133="","",IFERROR(IF(INDEX('02_DS_Nhan_Viec'!$J:$J,MATCH($B133,'02_DS_Nhan_Viec'!$B:$B,0))=0,"",INDEX('02_DS_Nhan_Viec'!$J:$J,MATCH($B133,'02_DS_Nhan_Viec'!$B:$B,0))),""))</f>
      </c>
      <c r="D133" s="52">
        <f t="array" ref="D133">IF($C133="","",IFERROR(IF(INDEX('05_Theo_Doi_Gio_Cong_7_Ngay'!$R:$R,MATCH($C133,'05_Theo_Doi_Gio_Cong_7_Ngay'!$B:$B,0))=0,"",INDEX('05_Theo_Doi_Gio_Cong_7_Ngay'!$R:$R,MATCH($C133,'05_Theo_Doi_Gio_Cong_7_Ngay'!$B:$B,0))),""))</f>
      </c>
      <c r="E133" s="60">
        <f t="array" ref="E133">IF($B133="","",IFERROR(IF(INDEX('01_UngVien_PhongVan'!$D:$D,MATCH($B133,'01_UngVien_PhongVan'!$B:$B,0))=0,"",INDEX('01_UngVien_PhongVan'!$D:$D,MATCH($B133,'01_UngVien_PhongVan'!$B:$B,0))),""))</f>
      </c>
      <c r="F133" s="52">
        <f t="array" ref="F133">IF($B133="","",IFERROR(IF(INDEX('01_UngVien_PhongVan'!$F:$F,MATCH($B133,'01_UngVien_PhongVan'!$B:$B,0))=0,"",INDEX('01_UngVien_PhongVan'!$F:$F,MATCH($B133,'01_UngVien_PhongVan'!$B:$B,0))),""))</f>
      </c>
      <c r="G133" s="72">
        <f t="array" ref="G133">IF($B133="","",IFERROR(IF(INDEX('01_UngVien_PhongVan'!$G:$G,MATCH($B133,'01_UngVien_PhongVan'!$B:$B,0))=0,"",INDEX('01_UngVien_PhongVan'!$G:$G,MATCH($B133,'01_UngVien_PhongVan'!$B:$B,0))),""))</f>
      </c>
      <c r="H133" s="52">
        <f t="array" ref="H133">IF($B133="","",IFERROR(IF(INDEX('01_UngVien_PhongVan'!$H:$H,MATCH($B133,'01_UngVien_PhongVan'!$B:$B,0))=0,"",INDEX('01_UngVien_PhongVan'!$H:$H,MATCH($B133,'01_UngVien_PhongVan'!$B:$B,0))),""))</f>
      </c>
      <c r="I133" s="60">
        <f t="array" ref="I133">IF($B133="","",IFERROR(IF(INDEX('01_UngVien_PhongVan'!$I:$I,MATCH($B133,'01_UngVien_PhongVan'!$B:$B,0))=0,"",INDEX('01_UngVien_PhongVan'!$I:$I,MATCH($B133,'01_UngVien_PhongVan'!$B:$B,0))),""))</f>
      </c>
      <c r="J133" s="60">
        <f t="array" ref="J133">IF($B133="","",IFERROR(IF(INDEX('01_UngVien_PhongVan'!$J:$J,MATCH($B133,'01_UngVien_PhongVan'!$B:$B,0))=0,"",INDEX('01_UngVien_PhongVan'!$J:$J,MATCH($B133,'01_UngVien_PhongVan'!$B:$B,0))),""))</f>
      </c>
      <c r="K133" s="73">
        <f t="array" ref="K133">IF($B133="","",IFERROR(IF(INDEX('01_UngVien_PhongVan'!$K:$K,MATCH($B133,'01_UngVien_PhongVan'!$B:$B,0))=0,"",INDEX('01_UngVien_PhongVan'!$K:$K,MATCH($B133,'01_UngVien_PhongVan'!$B:$B,0))),""))</f>
      </c>
      <c r="L133" s="60">
        <f t="array" ref="L133">IF($B133="","",IFERROR(IF(INDEX('01_UngVien_PhongVan'!$L:$L,MATCH($B133,'01_UngVien_PhongVan'!$B:$B,0))=0,"",INDEX('01_UngVien_PhongVan'!$L:$L,MATCH($B133,'01_UngVien_PhongVan'!$B:$B,0))),""))</f>
      </c>
      <c r="M133" s="60">
        <f t="array" ref="M133">IF($B133="","",IFERROR(IF(INDEX('01_UngVien_PhongVan'!$E:$E,MATCH($B133,'01_UngVien_PhongVan'!$B:$B,0))=0,"",INDEX('01_UngVien_PhongVan'!$E:$E,MATCH($B133,'01_UngVien_PhongVan'!$B:$B,0))),""))</f>
      </c>
      <c r="N133" s="60">
        <f t="array" ref="N133">IF($B133="","",IFERROR(IF(INDEX('01_UngVien_PhongVan'!$M:$M,MATCH($B133,'01_UngVien_PhongVan'!$B:$B,0))=0,"",INDEX('01_UngVien_PhongVan'!$M:$M,MATCH($B133,'01_UngVien_PhongVan'!$B:$B,0))),""))</f>
      </c>
      <c r="O133" s="60">
        <f t="array" ref="O133">IF($B133="","",IFERROR(IF(INDEX('01_UngVien_PhongVan'!$N:$N,MATCH($B133,'01_UngVien_PhongVan'!$B:$B,0))=0,"",INDEX('01_UngVien_PhongVan'!$N:$N,MATCH($B133,'01_UngVien_PhongVan'!$B:$B,0))),""))</f>
      </c>
      <c r="P133" s="60">
        <f t="array" ref="P133">IF($B133="","",IFERROR(IF(INDEX('01_UngVien_PhongVan'!$O:$O,MATCH($B133,'01_UngVien_PhongVan'!$B:$B,0))=0,"",INDEX('01_UngVien_PhongVan'!$O:$O,MATCH($B133,'01_UngVien_PhongVan'!$B:$B,0))),""))</f>
      </c>
      <c r="Q133" s="60">
        <f t="array" ref="Q133">IF($B133="","",IFERROR(IF(INDEX('01_UngVien_PhongVan'!$P:$P,MATCH($B133,'01_UngVien_PhongVan'!$B:$B,0))=0,"",INDEX('01_UngVien_PhongVan'!$P:$P,MATCH($B133,'01_UngVien_PhongVan'!$B:$B,0))),""))</f>
      </c>
      <c r="R133" s="60">
        <f t="array" ref="R133">IF($B133="","",IFERROR(IF(INDEX('01_UngVien_PhongVan'!$Q:$Q,MATCH($B133,'01_UngVien_PhongVan'!$B:$B,0))=0,"",INDEX('01_UngVien_PhongVan'!$Q:$Q,MATCH($B133,'01_UngVien_PhongVan'!$B:$B,0))),""))</f>
      </c>
      <c r="S133" s="60">
        <f t="array" ref="S133">IF($B133="","",IFERROR(IF(INDEX('01_UngVien_PhongVan'!$R:$R,MATCH($B133,'01_UngVien_PhongVan'!$B:$B,0))=0,"",INDEX('01_UngVien_PhongVan'!$R:$R,MATCH($B133,'01_UngVien_PhongVan'!$B:$B,0))),""))</f>
      </c>
      <c r="T133" s="60">
        <f t="array" ref="T133">IF($B133="","",IFERROR(IF(INDEX('01_UngVien_PhongVan'!$U:$U,MATCH($B133,'01_UngVien_PhongVan'!$B:$B,0))=0,"",INDEX('01_UngVien_PhongVan'!$U:$U,MATCH($B133,'01_UngVien_PhongVan'!$B:$B,0))),""))</f>
      </c>
      <c r="U133" s="73">
        <f t="array" ref="U133">IF($B133="","",IFERROR(IF(INDEX('01_UngVien_PhongVan'!$C:$C,MATCH($B133,'01_UngVien_PhongVan'!$B:$B,0))=0,"",INDEX('01_UngVien_PhongVan'!$C:$C,MATCH($B133,'01_UngVien_PhongVan'!$B:$B,0))),""))</f>
      </c>
      <c r="V133" s="73">
        <f t="array" ref="V133">IF($B133="","",IFERROR(IF(INDEX('02_DS_Nhan_Viec'!$D:$D,MATCH($B133,'02_DS_Nhan_Viec'!$B:$B,0))=0,"",INDEX('02_DS_Nhan_Viec'!$D:$D,MATCH($B133,'02_DS_Nhan_Viec'!$B:$B,0))),""))</f>
      </c>
      <c r="W133" s="73">
        <f t="array" ref="W133">IF($B133="","",IFERROR(IF(INDEX('02_DS_Nhan_Viec'!$E:$E,MATCH($B133,'02_DS_Nhan_Viec'!$B:$B,0))=0,"",INDEX('02_DS_Nhan_Viec'!$E:$E,MATCH($B133,'02_DS_Nhan_Viec'!$B:$B,0))),""))</f>
      </c>
      <c r="X133" s="73">
        <f t="array" ref="X133">IF($C133="","",IFERROR(IF(INDEX('05_Theo_Doi_Gio_Cong_7_Ngay'!$P:$P,MATCH($C133,'05_Theo_Doi_Gio_Cong_7_Ngay'!$B:$B,0))=0,"",INDEX('05_Theo_Doi_Gio_Cong_7_Ngay'!$P:$P,MATCH($C133,'05_Theo_Doi_Gio_Cong_7_Ngay'!$B:$B,0))),""))</f>
      </c>
      <c r="Y133" s="60">
        <f t="array" ref="Y133">IF($C133="","",IFERROR(IF(INDEX('05_Theo_Doi_Gio_Cong_7_Ngay'!$M:$M,MATCH($C133,'05_Theo_Doi_Gio_Cong_7_Ngay'!$B:$B,0))=0,"",INDEX('05_Theo_Doi_Gio_Cong_7_Ngay'!$M:$M,MATCH($C133,'05_Theo_Doi_Gio_Cong_7_Ngay'!$B:$B,0))),""))</f>
      </c>
      <c r="Z133" s="60">
        <f t="array" ref="Z133">IF($C133="","",IFERROR(IF(INDEX('05_Theo_Doi_Gio_Cong_7_Ngay'!$Q:$Q,MATCH($C133,'05_Theo_Doi_Gio_Cong_7_Ngay'!$B:$B,0))=0,"",INDEX('05_Theo_Doi_Gio_Cong_7_Ngay'!$Q:$Q,MATCH($C133,'05_Theo_Doi_Gio_Cong_7_Ngay'!$B:$B,0))),""))</f>
      </c>
      <c r="AA133" s="60">
        <f t="array" ref="AA133">IF($B133="","",IFERROR(IF(INDEX('02_DS_Nhan_Viec'!$H:$H,MATCH($B133,'02_DS_Nhan_Viec'!$B:$B,0))=0,"",INDEX('02_DS_Nhan_Viec'!$H:$H,MATCH($B133,'02_DS_Nhan_Viec'!$B:$B,0))),""))</f>
      </c>
      <c r="AB133" s="60">
        <f t="array" ref="AB133">IF($B133="","",IFERROR(IF(INDEX('02_DS_Nhan_Viec'!$I:$I,MATCH($B133,'02_DS_Nhan_Viec'!$B:$B,0))=0,"",INDEX('02_DS_Nhan_Viec'!$I:$I,MATCH($B133,'02_DS_Nhan_Viec'!$B:$B,0))),""))</f>
      </c>
      <c r="AC133" s="61">
        <f t="array" ref="AC133">IF($B133="","",IF($C133="","Đang theo dõi",IF(OR(IFERROR(INDEX('05_Theo_Doi_Gio_Cong_7_Ngay'!$R:$R,MATCH($C133,'05_Theo_Doi_Gio_Cong_7_Ngay'!$B:$B,0)),"")="",IFERROR(INDEX('05_Theo_Doi_Gio_Cong_7_Ngay'!$R:$R,MATCH($C133,'05_Theo_Doi_Gio_Cong_7_Ngay'!$B:$B,0)),0)=0),"Đang theo dõi",IFERROR(INDEX('06_DS_Chinh_Thuc'!$K:$K,MATCH(IFERROR(INDEX('05_Theo_Doi_Gio_Cong_7_Ngay'!$R:$R,MATCH($C133,'05_Theo_Doi_Gio_Cong_7_Ngay'!$B:$B,0)),0),'06_DS_Chinh_Thuc'!$B:$B,0)),"Đang theo dõi"))))</f>
      </c>
    </row>
    <row r="134" ht="14.25" customHeight="1" spans="1:29" x14ac:dyDescent="0.25">
      <c r="A134" s="52">
        <f t="shared" si="0"/>
      </c>
      <c r="B134" s="52">
        <f t="array" ref="B134">IFERROR(INDEX('02_DS_Nhan_Viec'!$B:$B,MATCH(133,'02_DS_Nhan_Viec'!$M:$M,0)),"")</f>
      </c>
      <c r="C134" s="52">
        <f t="array" ref="C134">IF($B134="","",IFERROR(IF(INDEX('02_DS_Nhan_Viec'!$J:$J,MATCH($B134,'02_DS_Nhan_Viec'!$B:$B,0))=0,"",INDEX('02_DS_Nhan_Viec'!$J:$J,MATCH($B134,'02_DS_Nhan_Viec'!$B:$B,0))),""))</f>
      </c>
      <c r="D134" s="52">
        <f t="array" ref="D134">IF($C134="","",IFERROR(IF(INDEX('05_Theo_Doi_Gio_Cong_7_Ngay'!$R:$R,MATCH($C134,'05_Theo_Doi_Gio_Cong_7_Ngay'!$B:$B,0))=0,"",INDEX('05_Theo_Doi_Gio_Cong_7_Ngay'!$R:$R,MATCH($C134,'05_Theo_Doi_Gio_Cong_7_Ngay'!$B:$B,0))),""))</f>
      </c>
      <c r="E134" s="60">
        <f t="array" ref="E134">IF($B134="","",IFERROR(IF(INDEX('01_UngVien_PhongVan'!$D:$D,MATCH($B134,'01_UngVien_PhongVan'!$B:$B,0))=0,"",INDEX('01_UngVien_PhongVan'!$D:$D,MATCH($B134,'01_UngVien_PhongVan'!$B:$B,0))),""))</f>
      </c>
      <c r="F134" s="52">
        <f t="array" ref="F134">IF($B134="","",IFERROR(IF(INDEX('01_UngVien_PhongVan'!$F:$F,MATCH($B134,'01_UngVien_PhongVan'!$B:$B,0))=0,"",INDEX('01_UngVien_PhongVan'!$F:$F,MATCH($B134,'01_UngVien_PhongVan'!$B:$B,0))),""))</f>
      </c>
      <c r="G134" s="72">
        <f t="array" ref="G134">IF($B134="","",IFERROR(IF(INDEX('01_UngVien_PhongVan'!$G:$G,MATCH($B134,'01_UngVien_PhongVan'!$B:$B,0))=0,"",INDEX('01_UngVien_PhongVan'!$G:$G,MATCH($B134,'01_UngVien_PhongVan'!$B:$B,0))),""))</f>
      </c>
      <c r="H134" s="52">
        <f t="array" ref="H134">IF($B134="","",IFERROR(IF(INDEX('01_UngVien_PhongVan'!$H:$H,MATCH($B134,'01_UngVien_PhongVan'!$B:$B,0))=0,"",INDEX('01_UngVien_PhongVan'!$H:$H,MATCH($B134,'01_UngVien_PhongVan'!$B:$B,0))),""))</f>
      </c>
      <c r="I134" s="60">
        <f t="array" ref="I134">IF($B134="","",IFERROR(IF(INDEX('01_UngVien_PhongVan'!$I:$I,MATCH($B134,'01_UngVien_PhongVan'!$B:$B,0))=0,"",INDEX('01_UngVien_PhongVan'!$I:$I,MATCH($B134,'01_UngVien_PhongVan'!$B:$B,0))),""))</f>
      </c>
      <c r="J134" s="60">
        <f t="array" ref="J134">IF($B134="","",IFERROR(IF(INDEX('01_UngVien_PhongVan'!$J:$J,MATCH($B134,'01_UngVien_PhongVan'!$B:$B,0))=0,"",INDEX('01_UngVien_PhongVan'!$J:$J,MATCH($B134,'01_UngVien_PhongVan'!$B:$B,0))),""))</f>
      </c>
      <c r="K134" s="73">
        <f t="array" ref="K134">IF($B134="","",IFERROR(IF(INDEX('01_UngVien_PhongVan'!$K:$K,MATCH($B134,'01_UngVien_PhongVan'!$B:$B,0))=0,"",INDEX('01_UngVien_PhongVan'!$K:$K,MATCH($B134,'01_UngVien_PhongVan'!$B:$B,0))),""))</f>
      </c>
      <c r="L134" s="60">
        <f t="array" ref="L134">IF($B134="","",IFERROR(IF(INDEX('01_UngVien_PhongVan'!$L:$L,MATCH($B134,'01_UngVien_PhongVan'!$B:$B,0))=0,"",INDEX('01_UngVien_PhongVan'!$L:$L,MATCH($B134,'01_UngVien_PhongVan'!$B:$B,0))),""))</f>
      </c>
      <c r="M134" s="60">
        <f t="array" ref="M134">IF($B134="","",IFERROR(IF(INDEX('01_UngVien_PhongVan'!$E:$E,MATCH($B134,'01_UngVien_PhongVan'!$B:$B,0))=0,"",INDEX('01_UngVien_PhongVan'!$E:$E,MATCH($B134,'01_UngVien_PhongVan'!$B:$B,0))),""))</f>
      </c>
      <c r="N134" s="60">
        <f t="array" ref="N134">IF($B134="","",IFERROR(IF(INDEX('01_UngVien_PhongVan'!$M:$M,MATCH($B134,'01_UngVien_PhongVan'!$B:$B,0))=0,"",INDEX('01_UngVien_PhongVan'!$M:$M,MATCH($B134,'01_UngVien_PhongVan'!$B:$B,0))),""))</f>
      </c>
      <c r="O134" s="60">
        <f t="array" ref="O134">IF($B134="","",IFERROR(IF(INDEX('01_UngVien_PhongVan'!$N:$N,MATCH($B134,'01_UngVien_PhongVan'!$B:$B,0))=0,"",INDEX('01_UngVien_PhongVan'!$N:$N,MATCH($B134,'01_UngVien_PhongVan'!$B:$B,0))),""))</f>
      </c>
      <c r="P134" s="60">
        <f t="array" ref="P134">IF($B134="","",IFERROR(IF(INDEX('01_UngVien_PhongVan'!$O:$O,MATCH($B134,'01_UngVien_PhongVan'!$B:$B,0))=0,"",INDEX('01_UngVien_PhongVan'!$O:$O,MATCH($B134,'01_UngVien_PhongVan'!$B:$B,0))),""))</f>
      </c>
      <c r="Q134" s="60">
        <f t="array" ref="Q134">IF($B134="","",IFERROR(IF(INDEX('01_UngVien_PhongVan'!$P:$P,MATCH($B134,'01_UngVien_PhongVan'!$B:$B,0))=0,"",INDEX('01_UngVien_PhongVan'!$P:$P,MATCH($B134,'01_UngVien_PhongVan'!$B:$B,0))),""))</f>
      </c>
      <c r="R134" s="60">
        <f t="array" ref="R134">IF($B134="","",IFERROR(IF(INDEX('01_UngVien_PhongVan'!$Q:$Q,MATCH($B134,'01_UngVien_PhongVan'!$B:$B,0))=0,"",INDEX('01_UngVien_PhongVan'!$Q:$Q,MATCH($B134,'01_UngVien_PhongVan'!$B:$B,0))),""))</f>
      </c>
      <c r="S134" s="60">
        <f t="array" ref="S134">IF($B134="","",IFERROR(IF(INDEX('01_UngVien_PhongVan'!$R:$R,MATCH($B134,'01_UngVien_PhongVan'!$B:$B,0))=0,"",INDEX('01_UngVien_PhongVan'!$R:$R,MATCH($B134,'01_UngVien_PhongVan'!$B:$B,0))),""))</f>
      </c>
      <c r="T134" s="60">
        <f t="array" ref="T134">IF($B134="","",IFERROR(IF(INDEX('01_UngVien_PhongVan'!$U:$U,MATCH($B134,'01_UngVien_PhongVan'!$B:$B,0))=0,"",INDEX('01_UngVien_PhongVan'!$U:$U,MATCH($B134,'01_UngVien_PhongVan'!$B:$B,0))),""))</f>
      </c>
      <c r="U134" s="73">
        <f t="array" ref="U134">IF($B134="","",IFERROR(IF(INDEX('01_UngVien_PhongVan'!$C:$C,MATCH($B134,'01_UngVien_PhongVan'!$B:$B,0))=0,"",INDEX('01_UngVien_PhongVan'!$C:$C,MATCH($B134,'01_UngVien_PhongVan'!$B:$B,0))),""))</f>
      </c>
      <c r="V134" s="73">
        <f t="array" ref="V134">IF($B134="","",IFERROR(IF(INDEX('02_DS_Nhan_Viec'!$D:$D,MATCH($B134,'02_DS_Nhan_Viec'!$B:$B,0))=0,"",INDEX('02_DS_Nhan_Viec'!$D:$D,MATCH($B134,'02_DS_Nhan_Viec'!$B:$B,0))),""))</f>
      </c>
      <c r="W134" s="73">
        <f t="array" ref="W134">IF($B134="","",IFERROR(IF(INDEX('02_DS_Nhan_Viec'!$E:$E,MATCH($B134,'02_DS_Nhan_Viec'!$B:$B,0))=0,"",INDEX('02_DS_Nhan_Viec'!$E:$E,MATCH($B134,'02_DS_Nhan_Viec'!$B:$B,0))),""))</f>
      </c>
      <c r="X134" s="73">
        <f t="array" ref="X134">IF($C134="","",IFERROR(IF(INDEX('05_Theo_Doi_Gio_Cong_7_Ngay'!$P:$P,MATCH($C134,'05_Theo_Doi_Gio_Cong_7_Ngay'!$B:$B,0))=0,"",INDEX('05_Theo_Doi_Gio_Cong_7_Ngay'!$P:$P,MATCH($C134,'05_Theo_Doi_Gio_Cong_7_Ngay'!$B:$B,0))),""))</f>
      </c>
      <c r="Y134" s="60">
        <f t="array" ref="Y134">IF($C134="","",IFERROR(IF(INDEX('05_Theo_Doi_Gio_Cong_7_Ngay'!$M:$M,MATCH($C134,'05_Theo_Doi_Gio_Cong_7_Ngay'!$B:$B,0))=0,"",INDEX('05_Theo_Doi_Gio_Cong_7_Ngay'!$M:$M,MATCH($C134,'05_Theo_Doi_Gio_Cong_7_Ngay'!$B:$B,0))),""))</f>
      </c>
      <c r="Z134" s="60">
        <f t="array" ref="Z134">IF($C134="","",IFERROR(IF(INDEX('05_Theo_Doi_Gio_Cong_7_Ngay'!$Q:$Q,MATCH($C134,'05_Theo_Doi_Gio_Cong_7_Ngay'!$B:$B,0))=0,"",INDEX('05_Theo_Doi_Gio_Cong_7_Ngay'!$Q:$Q,MATCH($C134,'05_Theo_Doi_Gio_Cong_7_Ngay'!$B:$B,0))),""))</f>
      </c>
      <c r="AA134" s="60">
        <f t="array" ref="AA134">IF($B134="","",IFERROR(IF(INDEX('02_DS_Nhan_Viec'!$H:$H,MATCH($B134,'02_DS_Nhan_Viec'!$B:$B,0))=0,"",INDEX('02_DS_Nhan_Viec'!$H:$H,MATCH($B134,'02_DS_Nhan_Viec'!$B:$B,0))),""))</f>
      </c>
      <c r="AB134" s="60">
        <f t="array" ref="AB134">IF($B134="","",IFERROR(IF(INDEX('02_DS_Nhan_Viec'!$I:$I,MATCH($B134,'02_DS_Nhan_Viec'!$B:$B,0))=0,"",INDEX('02_DS_Nhan_Viec'!$I:$I,MATCH($B134,'02_DS_Nhan_Viec'!$B:$B,0))),""))</f>
      </c>
      <c r="AC134" s="61">
        <f t="array" ref="AC134">IF($B134="","",IF($C134="","Đang theo dõi",IF(OR(IFERROR(INDEX('05_Theo_Doi_Gio_Cong_7_Ngay'!$R:$R,MATCH($C134,'05_Theo_Doi_Gio_Cong_7_Ngay'!$B:$B,0)),"")="",IFERROR(INDEX('05_Theo_Doi_Gio_Cong_7_Ngay'!$R:$R,MATCH($C134,'05_Theo_Doi_Gio_Cong_7_Ngay'!$B:$B,0)),0)=0),"Đang theo dõi",IFERROR(INDEX('06_DS_Chinh_Thuc'!$K:$K,MATCH(IFERROR(INDEX('05_Theo_Doi_Gio_Cong_7_Ngay'!$R:$R,MATCH($C134,'05_Theo_Doi_Gio_Cong_7_Ngay'!$B:$B,0)),0),'06_DS_Chinh_Thuc'!$B:$B,0)),"Đang theo dõi"))))</f>
      </c>
    </row>
    <row r="135" ht="14.25" customHeight="1" spans="1:29" x14ac:dyDescent="0.25">
      <c r="A135" s="52">
        <f t="shared" si="0"/>
      </c>
      <c r="B135" s="52">
        <f t="array" ref="B135">IFERROR(INDEX('02_DS_Nhan_Viec'!$B:$B,MATCH(134,'02_DS_Nhan_Viec'!$M:$M,0)),"")</f>
      </c>
      <c r="C135" s="52">
        <f t="array" ref="C135">IF($B135="","",IFERROR(IF(INDEX('02_DS_Nhan_Viec'!$J:$J,MATCH($B135,'02_DS_Nhan_Viec'!$B:$B,0))=0,"",INDEX('02_DS_Nhan_Viec'!$J:$J,MATCH($B135,'02_DS_Nhan_Viec'!$B:$B,0))),""))</f>
      </c>
      <c r="D135" s="52">
        <f t="array" ref="D135">IF($C135="","",IFERROR(IF(INDEX('05_Theo_Doi_Gio_Cong_7_Ngay'!$R:$R,MATCH($C135,'05_Theo_Doi_Gio_Cong_7_Ngay'!$B:$B,0))=0,"",INDEX('05_Theo_Doi_Gio_Cong_7_Ngay'!$R:$R,MATCH($C135,'05_Theo_Doi_Gio_Cong_7_Ngay'!$B:$B,0))),""))</f>
      </c>
      <c r="E135" s="60">
        <f t="array" ref="E135">IF($B135="","",IFERROR(IF(INDEX('01_UngVien_PhongVan'!$D:$D,MATCH($B135,'01_UngVien_PhongVan'!$B:$B,0))=0,"",INDEX('01_UngVien_PhongVan'!$D:$D,MATCH($B135,'01_UngVien_PhongVan'!$B:$B,0))),""))</f>
      </c>
      <c r="F135" s="52">
        <f t="array" ref="F135">IF($B135="","",IFERROR(IF(INDEX('01_UngVien_PhongVan'!$F:$F,MATCH($B135,'01_UngVien_PhongVan'!$B:$B,0))=0,"",INDEX('01_UngVien_PhongVan'!$F:$F,MATCH($B135,'01_UngVien_PhongVan'!$B:$B,0))),""))</f>
      </c>
      <c r="G135" s="72">
        <f t="array" ref="G135">IF($B135="","",IFERROR(IF(INDEX('01_UngVien_PhongVan'!$G:$G,MATCH($B135,'01_UngVien_PhongVan'!$B:$B,0))=0,"",INDEX('01_UngVien_PhongVan'!$G:$G,MATCH($B135,'01_UngVien_PhongVan'!$B:$B,0))),""))</f>
      </c>
      <c r="H135" s="52">
        <f t="array" ref="H135">IF($B135="","",IFERROR(IF(INDEX('01_UngVien_PhongVan'!$H:$H,MATCH($B135,'01_UngVien_PhongVan'!$B:$B,0))=0,"",INDEX('01_UngVien_PhongVan'!$H:$H,MATCH($B135,'01_UngVien_PhongVan'!$B:$B,0))),""))</f>
      </c>
      <c r="I135" s="60">
        <f t="array" ref="I135">IF($B135="","",IFERROR(IF(INDEX('01_UngVien_PhongVan'!$I:$I,MATCH($B135,'01_UngVien_PhongVan'!$B:$B,0))=0,"",INDEX('01_UngVien_PhongVan'!$I:$I,MATCH($B135,'01_UngVien_PhongVan'!$B:$B,0))),""))</f>
      </c>
      <c r="J135" s="60">
        <f t="array" ref="J135">IF($B135="","",IFERROR(IF(INDEX('01_UngVien_PhongVan'!$J:$J,MATCH($B135,'01_UngVien_PhongVan'!$B:$B,0))=0,"",INDEX('01_UngVien_PhongVan'!$J:$J,MATCH($B135,'01_UngVien_PhongVan'!$B:$B,0))),""))</f>
      </c>
      <c r="K135" s="73">
        <f t="array" ref="K135">IF($B135="","",IFERROR(IF(INDEX('01_UngVien_PhongVan'!$K:$K,MATCH($B135,'01_UngVien_PhongVan'!$B:$B,0))=0,"",INDEX('01_UngVien_PhongVan'!$K:$K,MATCH($B135,'01_UngVien_PhongVan'!$B:$B,0))),""))</f>
      </c>
      <c r="L135" s="60">
        <f t="array" ref="L135">IF($B135="","",IFERROR(IF(INDEX('01_UngVien_PhongVan'!$L:$L,MATCH($B135,'01_UngVien_PhongVan'!$B:$B,0))=0,"",INDEX('01_UngVien_PhongVan'!$L:$L,MATCH($B135,'01_UngVien_PhongVan'!$B:$B,0))),""))</f>
      </c>
      <c r="M135" s="60">
        <f t="array" ref="M135">IF($B135="","",IFERROR(IF(INDEX('01_UngVien_PhongVan'!$E:$E,MATCH($B135,'01_UngVien_PhongVan'!$B:$B,0))=0,"",INDEX('01_UngVien_PhongVan'!$E:$E,MATCH($B135,'01_UngVien_PhongVan'!$B:$B,0))),""))</f>
      </c>
      <c r="N135" s="60">
        <f t="array" ref="N135">IF($B135="","",IFERROR(IF(INDEX('01_UngVien_PhongVan'!$M:$M,MATCH($B135,'01_UngVien_PhongVan'!$B:$B,0))=0,"",INDEX('01_UngVien_PhongVan'!$M:$M,MATCH($B135,'01_UngVien_PhongVan'!$B:$B,0))),""))</f>
      </c>
      <c r="O135" s="60">
        <f t="array" ref="O135">IF($B135="","",IFERROR(IF(INDEX('01_UngVien_PhongVan'!$N:$N,MATCH($B135,'01_UngVien_PhongVan'!$B:$B,0))=0,"",INDEX('01_UngVien_PhongVan'!$N:$N,MATCH($B135,'01_UngVien_PhongVan'!$B:$B,0))),""))</f>
      </c>
      <c r="P135" s="60">
        <f t="array" ref="P135">IF($B135="","",IFERROR(IF(INDEX('01_UngVien_PhongVan'!$O:$O,MATCH($B135,'01_UngVien_PhongVan'!$B:$B,0))=0,"",INDEX('01_UngVien_PhongVan'!$O:$O,MATCH($B135,'01_UngVien_PhongVan'!$B:$B,0))),""))</f>
      </c>
      <c r="Q135" s="60">
        <f t="array" ref="Q135">IF($B135="","",IFERROR(IF(INDEX('01_UngVien_PhongVan'!$P:$P,MATCH($B135,'01_UngVien_PhongVan'!$B:$B,0))=0,"",INDEX('01_UngVien_PhongVan'!$P:$P,MATCH($B135,'01_UngVien_PhongVan'!$B:$B,0))),""))</f>
      </c>
      <c r="R135" s="60">
        <f t="array" ref="R135">IF($B135="","",IFERROR(IF(INDEX('01_UngVien_PhongVan'!$Q:$Q,MATCH($B135,'01_UngVien_PhongVan'!$B:$B,0))=0,"",INDEX('01_UngVien_PhongVan'!$Q:$Q,MATCH($B135,'01_UngVien_PhongVan'!$B:$B,0))),""))</f>
      </c>
      <c r="S135" s="60">
        <f t="array" ref="S135">IF($B135="","",IFERROR(IF(INDEX('01_UngVien_PhongVan'!$R:$R,MATCH($B135,'01_UngVien_PhongVan'!$B:$B,0))=0,"",INDEX('01_UngVien_PhongVan'!$R:$R,MATCH($B135,'01_UngVien_PhongVan'!$B:$B,0))),""))</f>
      </c>
      <c r="T135" s="60">
        <f t="array" ref="T135">IF($B135="","",IFERROR(IF(INDEX('01_UngVien_PhongVan'!$U:$U,MATCH($B135,'01_UngVien_PhongVan'!$B:$B,0))=0,"",INDEX('01_UngVien_PhongVan'!$U:$U,MATCH($B135,'01_UngVien_PhongVan'!$B:$B,0))),""))</f>
      </c>
      <c r="U135" s="73">
        <f t="array" ref="U135">IF($B135="","",IFERROR(IF(INDEX('01_UngVien_PhongVan'!$C:$C,MATCH($B135,'01_UngVien_PhongVan'!$B:$B,0))=0,"",INDEX('01_UngVien_PhongVan'!$C:$C,MATCH($B135,'01_UngVien_PhongVan'!$B:$B,0))),""))</f>
      </c>
      <c r="V135" s="73">
        <f t="array" ref="V135">IF($B135="","",IFERROR(IF(INDEX('02_DS_Nhan_Viec'!$D:$D,MATCH($B135,'02_DS_Nhan_Viec'!$B:$B,0))=0,"",INDEX('02_DS_Nhan_Viec'!$D:$D,MATCH($B135,'02_DS_Nhan_Viec'!$B:$B,0))),""))</f>
      </c>
      <c r="W135" s="73">
        <f t="array" ref="W135">IF($B135="","",IFERROR(IF(INDEX('02_DS_Nhan_Viec'!$E:$E,MATCH($B135,'02_DS_Nhan_Viec'!$B:$B,0))=0,"",INDEX('02_DS_Nhan_Viec'!$E:$E,MATCH($B135,'02_DS_Nhan_Viec'!$B:$B,0))),""))</f>
      </c>
      <c r="X135" s="73">
        <f t="array" ref="X135">IF($C135="","",IFERROR(IF(INDEX('05_Theo_Doi_Gio_Cong_7_Ngay'!$P:$P,MATCH($C135,'05_Theo_Doi_Gio_Cong_7_Ngay'!$B:$B,0))=0,"",INDEX('05_Theo_Doi_Gio_Cong_7_Ngay'!$P:$P,MATCH($C135,'05_Theo_Doi_Gio_Cong_7_Ngay'!$B:$B,0))),""))</f>
      </c>
      <c r="Y135" s="60">
        <f t="array" ref="Y135">IF($C135="","",IFERROR(IF(INDEX('05_Theo_Doi_Gio_Cong_7_Ngay'!$M:$M,MATCH($C135,'05_Theo_Doi_Gio_Cong_7_Ngay'!$B:$B,0))=0,"",INDEX('05_Theo_Doi_Gio_Cong_7_Ngay'!$M:$M,MATCH($C135,'05_Theo_Doi_Gio_Cong_7_Ngay'!$B:$B,0))),""))</f>
      </c>
      <c r="Z135" s="60">
        <f t="array" ref="Z135">IF($C135="","",IFERROR(IF(INDEX('05_Theo_Doi_Gio_Cong_7_Ngay'!$Q:$Q,MATCH($C135,'05_Theo_Doi_Gio_Cong_7_Ngay'!$B:$B,0))=0,"",INDEX('05_Theo_Doi_Gio_Cong_7_Ngay'!$Q:$Q,MATCH($C135,'05_Theo_Doi_Gio_Cong_7_Ngay'!$B:$B,0))),""))</f>
      </c>
      <c r="AA135" s="60">
        <f t="array" ref="AA135">IF($B135="","",IFERROR(IF(INDEX('02_DS_Nhan_Viec'!$H:$H,MATCH($B135,'02_DS_Nhan_Viec'!$B:$B,0))=0,"",INDEX('02_DS_Nhan_Viec'!$H:$H,MATCH($B135,'02_DS_Nhan_Viec'!$B:$B,0))),""))</f>
      </c>
      <c r="AB135" s="60">
        <f t="array" ref="AB135">IF($B135="","",IFERROR(IF(INDEX('02_DS_Nhan_Viec'!$I:$I,MATCH($B135,'02_DS_Nhan_Viec'!$B:$B,0))=0,"",INDEX('02_DS_Nhan_Viec'!$I:$I,MATCH($B135,'02_DS_Nhan_Viec'!$B:$B,0))),""))</f>
      </c>
      <c r="AC135" s="61">
        <f t="array" ref="AC135">IF($B135="","",IF($C135="","Đang theo dõi",IF(OR(IFERROR(INDEX('05_Theo_Doi_Gio_Cong_7_Ngay'!$R:$R,MATCH($C135,'05_Theo_Doi_Gio_Cong_7_Ngay'!$B:$B,0)),"")="",IFERROR(INDEX('05_Theo_Doi_Gio_Cong_7_Ngay'!$R:$R,MATCH($C135,'05_Theo_Doi_Gio_Cong_7_Ngay'!$B:$B,0)),0)=0),"Đang theo dõi",IFERROR(INDEX('06_DS_Chinh_Thuc'!$K:$K,MATCH(IFERROR(INDEX('05_Theo_Doi_Gio_Cong_7_Ngay'!$R:$R,MATCH($C135,'05_Theo_Doi_Gio_Cong_7_Ngay'!$B:$B,0)),0),'06_DS_Chinh_Thuc'!$B:$B,0)),"Đang theo dõi"))))</f>
      </c>
    </row>
    <row r="136" ht="14.25" customHeight="1" spans="1:29" x14ac:dyDescent="0.25">
      <c r="A136" s="52">
        <f t="shared" si="0"/>
      </c>
      <c r="B136" s="52">
        <f t="array" ref="B136">IFERROR(INDEX('02_DS_Nhan_Viec'!$B:$B,MATCH(135,'02_DS_Nhan_Viec'!$M:$M,0)),"")</f>
      </c>
      <c r="C136" s="52">
        <f t="array" ref="C136">IF($B136="","",IFERROR(IF(INDEX('02_DS_Nhan_Viec'!$J:$J,MATCH($B136,'02_DS_Nhan_Viec'!$B:$B,0))=0,"",INDEX('02_DS_Nhan_Viec'!$J:$J,MATCH($B136,'02_DS_Nhan_Viec'!$B:$B,0))),""))</f>
      </c>
      <c r="D136" s="52">
        <f t="array" ref="D136">IF($C136="","",IFERROR(IF(INDEX('05_Theo_Doi_Gio_Cong_7_Ngay'!$R:$R,MATCH($C136,'05_Theo_Doi_Gio_Cong_7_Ngay'!$B:$B,0))=0,"",INDEX('05_Theo_Doi_Gio_Cong_7_Ngay'!$R:$R,MATCH($C136,'05_Theo_Doi_Gio_Cong_7_Ngay'!$B:$B,0))),""))</f>
      </c>
      <c r="E136" s="60">
        <f t="array" ref="E136">IF($B136="","",IFERROR(IF(INDEX('01_UngVien_PhongVan'!$D:$D,MATCH($B136,'01_UngVien_PhongVan'!$B:$B,0))=0,"",INDEX('01_UngVien_PhongVan'!$D:$D,MATCH($B136,'01_UngVien_PhongVan'!$B:$B,0))),""))</f>
      </c>
      <c r="F136" s="52">
        <f t="array" ref="F136">IF($B136="","",IFERROR(IF(INDEX('01_UngVien_PhongVan'!$F:$F,MATCH($B136,'01_UngVien_PhongVan'!$B:$B,0))=0,"",INDEX('01_UngVien_PhongVan'!$F:$F,MATCH($B136,'01_UngVien_PhongVan'!$B:$B,0))),""))</f>
      </c>
      <c r="G136" s="72">
        <f t="array" ref="G136">IF($B136="","",IFERROR(IF(INDEX('01_UngVien_PhongVan'!$G:$G,MATCH($B136,'01_UngVien_PhongVan'!$B:$B,0))=0,"",INDEX('01_UngVien_PhongVan'!$G:$G,MATCH($B136,'01_UngVien_PhongVan'!$B:$B,0))),""))</f>
      </c>
      <c r="H136" s="52">
        <f t="array" ref="H136">IF($B136="","",IFERROR(IF(INDEX('01_UngVien_PhongVan'!$H:$H,MATCH($B136,'01_UngVien_PhongVan'!$B:$B,0))=0,"",INDEX('01_UngVien_PhongVan'!$H:$H,MATCH($B136,'01_UngVien_PhongVan'!$B:$B,0))),""))</f>
      </c>
      <c r="I136" s="60">
        <f t="array" ref="I136">IF($B136="","",IFERROR(IF(INDEX('01_UngVien_PhongVan'!$I:$I,MATCH($B136,'01_UngVien_PhongVan'!$B:$B,0))=0,"",INDEX('01_UngVien_PhongVan'!$I:$I,MATCH($B136,'01_UngVien_PhongVan'!$B:$B,0))),""))</f>
      </c>
      <c r="J136" s="60">
        <f t="array" ref="J136">IF($B136="","",IFERROR(IF(INDEX('01_UngVien_PhongVan'!$J:$J,MATCH($B136,'01_UngVien_PhongVan'!$B:$B,0))=0,"",INDEX('01_UngVien_PhongVan'!$J:$J,MATCH($B136,'01_UngVien_PhongVan'!$B:$B,0))),""))</f>
      </c>
      <c r="K136" s="73">
        <f t="array" ref="K136">IF($B136="","",IFERROR(IF(INDEX('01_UngVien_PhongVan'!$K:$K,MATCH($B136,'01_UngVien_PhongVan'!$B:$B,0))=0,"",INDEX('01_UngVien_PhongVan'!$K:$K,MATCH($B136,'01_UngVien_PhongVan'!$B:$B,0))),""))</f>
      </c>
      <c r="L136" s="60">
        <f t="array" ref="L136">IF($B136="","",IFERROR(IF(INDEX('01_UngVien_PhongVan'!$L:$L,MATCH($B136,'01_UngVien_PhongVan'!$B:$B,0))=0,"",INDEX('01_UngVien_PhongVan'!$L:$L,MATCH($B136,'01_UngVien_PhongVan'!$B:$B,0))),""))</f>
      </c>
      <c r="M136" s="60">
        <f t="array" ref="M136">IF($B136="","",IFERROR(IF(INDEX('01_UngVien_PhongVan'!$E:$E,MATCH($B136,'01_UngVien_PhongVan'!$B:$B,0))=0,"",INDEX('01_UngVien_PhongVan'!$E:$E,MATCH($B136,'01_UngVien_PhongVan'!$B:$B,0))),""))</f>
      </c>
      <c r="N136" s="60">
        <f t="array" ref="N136">IF($B136="","",IFERROR(IF(INDEX('01_UngVien_PhongVan'!$M:$M,MATCH($B136,'01_UngVien_PhongVan'!$B:$B,0))=0,"",INDEX('01_UngVien_PhongVan'!$M:$M,MATCH($B136,'01_UngVien_PhongVan'!$B:$B,0))),""))</f>
      </c>
      <c r="O136" s="60">
        <f t="array" ref="O136">IF($B136="","",IFERROR(IF(INDEX('01_UngVien_PhongVan'!$N:$N,MATCH($B136,'01_UngVien_PhongVan'!$B:$B,0))=0,"",INDEX('01_UngVien_PhongVan'!$N:$N,MATCH($B136,'01_UngVien_PhongVan'!$B:$B,0))),""))</f>
      </c>
      <c r="P136" s="60">
        <f t="array" ref="P136">IF($B136="","",IFERROR(IF(INDEX('01_UngVien_PhongVan'!$O:$O,MATCH($B136,'01_UngVien_PhongVan'!$B:$B,0))=0,"",INDEX('01_UngVien_PhongVan'!$O:$O,MATCH($B136,'01_UngVien_PhongVan'!$B:$B,0))),""))</f>
      </c>
      <c r="Q136" s="60">
        <f t="array" ref="Q136">IF($B136="","",IFERROR(IF(INDEX('01_UngVien_PhongVan'!$P:$P,MATCH($B136,'01_UngVien_PhongVan'!$B:$B,0))=0,"",INDEX('01_UngVien_PhongVan'!$P:$P,MATCH($B136,'01_UngVien_PhongVan'!$B:$B,0))),""))</f>
      </c>
      <c r="R136" s="60">
        <f t="array" ref="R136">IF($B136="","",IFERROR(IF(INDEX('01_UngVien_PhongVan'!$Q:$Q,MATCH($B136,'01_UngVien_PhongVan'!$B:$B,0))=0,"",INDEX('01_UngVien_PhongVan'!$Q:$Q,MATCH($B136,'01_UngVien_PhongVan'!$B:$B,0))),""))</f>
      </c>
      <c r="S136" s="60">
        <f t="array" ref="S136">IF($B136="","",IFERROR(IF(INDEX('01_UngVien_PhongVan'!$R:$R,MATCH($B136,'01_UngVien_PhongVan'!$B:$B,0))=0,"",INDEX('01_UngVien_PhongVan'!$R:$R,MATCH($B136,'01_UngVien_PhongVan'!$B:$B,0))),""))</f>
      </c>
      <c r="T136" s="60">
        <f t="array" ref="T136">IF($B136="","",IFERROR(IF(INDEX('01_UngVien_PhongVan'!$U:$U,MATCH($B136,'01_UngVien_PhongVan'!$B:$B,0))=0,"",INDEX('01_UngVien_PhongVan'!$U:$U,MATCH($B136,'01_UngVien_PhongVan'!$B:$B,0))),""))</f>
      </c>
      <c r="U136" s="73">
        <f t="array" ref="U136">IF($B136="","",IFERROR(IF(INDEX('01_UngVien_PhongVan'!$C:$C,MATCH($B136,'01_UngVien_PhongVan'!$B:$B,0))=0,"",INDEX('01_UngVien_PhongVan'!$C:$C,MATCH($B136,'01_UngVien_PhongVan'!$B:$B,0))),""))</f>
      </c>
      <c r="V136" s="73">
        <f t="array" ref="V136">IF($B136="","",IFERROR(IF(INDEX('02_DS_Nhan_Viec'!$D:$D,MATCH($B136,'02_DS_Nhan_Viec'!$B:$B,0))=0,"",INDEX('02_DS_Nhan_Viec'!$D:$D,MATCH($B136,'02_DS_Nhan_Viec'!$B:$B,0))),""))</f>
      </c>
      <c r="W136" s="73">
        <f t="array" ref="W136">IF($B136="","",IFERROR(IF(INDEX('02_DS_Nhan_Viec'!$E:$E,MATCH($B136,'02_DS_Nhan_Viec'!$B:$B,0))=0,"",INDEX('02_DS_Nhan_Viec'!$E:$E,MATCH($B136,'02_DS_Nhan_Viec'!$B:$B,0))),""))</f>
      </c>
      <c r="X136" s="73">
        <f t="array" ref="X136">IF($C136="","",IFERROR(IF(INDEX('05_Theo_Doi_Gio_Cong_7_Ngay'!$P:$P,MATCH($C136,'05_Theo_Doi_Gio_Cong_7_Ngay'!$B:$B,0))=0,"",INDEX('05_Theo_Doi_Gio_Cong_7_Ngay'!$P:$P,MATCH($C136,'05_Theo_Doi_Gio_Cong_7_Ngay'!$B:$B,0))),""))</f>
      </c>
      <c r="Y136" s="60">
        <f t="array" ref="Y136">IF($C136="","",IFERROR(IF(INDEX('05_Theo_Doi_Gio_Cong_7_Ngay'!$M:$M,MATCH($C136,'05_Theo_Doi_Gio_Cong_7_Ngay'!$B:$B,0))=0,"",INDEX('05_Theo_Doi_Gio_Cong_7_Ngay'!$M:$M,MATCH($C136,'05_Theo_Doi_Gio_Cong_7_Ngay'!$B:$B,0))),""))</f>
      </c>
      <c r="Z136" s="60">
        <f t="array" ref="Z136">IF($C136="","",IFERROR(IF(INDEX('05_Theo_Doi_Gio_Cong_7_Ngay'!$Q:$Q,MATCH($C136,'05_Theo_Doi_Gio_Cong_7_Ngay'!$B:$B,0))=0,"",INDEX('05_Theo_Doi_Gio_Cong_7_Ngay'!$Q:$Q,MATCH($C136,'05_Theo_Doi_Gio_Cong_7_Ngay'!$B:$B,0))),""))</f>
      </c>
      <c r="AA136" s="60">
        <f t="array" ref="AA136">IF($B136="","",IFERROR(IF(INDEX('02_DS_Nhan_Viec'!$H:$H,MATCH($B136,'02_DS_Nhan_Viec'!$B:$B,0))=0,"",INDEX('02_DS_Nhan_Viec'!$H:$H,MATCH($B136,'02_DS_Nhan_Viec'!$B:$B,0))),""))</f>
      </c>
      <c r="AB136" s="60">
        <f t="array" ref="AB136">IF($B136="","",IFERROR(IF(INDEX('02_DS_Nhan_Viec'!$I:$I,MATCH($B136,'02_DS_Nhan_Viec'!$B:$B,0))=0,"",INDEX('02_DS_Nhan_Viec'!$I:$I,MATCH($B136,'02_DS_Nhan_Viec'!$B:$B,0))),""))</f>
      </c>
      <c r="AC136" s="61">
        <f t="array" ref="AC136">IF($B136="","",IF($C136="","Đang theo dõi",IF(OR(IFERROR(INDEX('05_Theo_Doi_Gio_Cong_7_Ngay'!$R:$R,MATCH($C136,'05_Theo_Doi_Gio_Cong_7_Ngay'!$B:$B,0)),"")="",IFERROR(INDEX('05_Theo_Doi_Gio_Cong_7_Ngay'!$R:$R,MATCH($C136,'05_Theo_Doi_Gio_Cong_7_Ngay'!$B:$B,0)),0)=0),"Đang theo dõi",IFERROR(INDEX('06_DS_Chinh_Thuc'!$K:$K,MATCH(IFERROR(INDEX('05_Theo_Doi_Gio_Cong_7_Ngay'!$R:$R,MATCH($C136,'05_Theo_Doi_Gio_Cong_7_Ngay'!$B:$B,0)),0),'06_DS_Chinh_Thuc'!$B:$B,0)),"Đang theo dõi"))))</f>
      </c>
    </row>
    <row r="137" ht="14.25" customHeight="1" spans="1:29" x14ac:dyDescent="0.25">
      <c r="A137" s="52">
        <f t="shared" si="0"/>
      </c>
      <c r="B137" s="52">
        <f t="array" ref="B137">IFERROR(INDEX('02_DS_Nhan_Viec'!$B:$B,MATCH(136,'02_DS_Nhan_Viec'!$M:$M,0)),"")</f>
      </c>
      <c r="C137" s="52">
        <f t="array" ref="C137">IF($B137="","",IFERROR(IF(INDEX('02_DS_Nhan_Viec'!$J:$J,MATCH($B137,'02_DS_Nhan_Viec'!$B:$B,0))=0,"",INDEX('02_DS_Nhan_Viec'!$J:$J,MATCH($B137,'02_DS_Nhan_Viec'!$B:$B,0))),""))</f>
      </c>
      <c r="D137" s="52">
        <f t="array" ref="D137">IF($C137="","",IFERROR(IF(INDEX('05_Theo_Doi_Gio_Cong_7_Ngay'!$R:$R,MATCH($C137,'05_Theo_Doi_Gio_Cong_7_Ngay'!$B:$B,0))=0,"",INDEX('05_Theo_Doi_Gio_Cong_7_Ngay'!$R:$R,MATCH($C137,'05_Theo_Doi_Gio_Cong_7_Ngay'!$B:$B,0))),""))</f>
      </c>
      <c r="E137" s="60">
        <f t="array" ref="E137">IF($B137="","",IFERROR(IF(INDEX('01_UngVien_PhongVan'!$D:$D,MATCH($B137,'01_UngVien_PhongVan'!$B:$B,0))=0,"",INDEX('01_UngVien_PhongVan'!$D:$D,MATCH($B137,'01_UngVien_PhongVan'!$B:$B,0))),""))</f>
      </c>
      <c r="F137" s="52">
        <f t="array" ref="F137">IF($B137="","",IFERROR(IF(INDEX('01_UngVien_PhongVan'!$F:$F,MATCH($B137,'01_UngVien_PhongVan'!$B:$B,0))=0,"",INDEX('01_UngVien_PhongVan'!$F:$F,MATCH($B137,'01_UngVien_PhongVan'!$B:$B,0))),""))</f>
      </c>
      <c r="G137" s="72">
        <f t="array" ref="G137">IF($B137="","",IFERROR(IF(INDEX('01_UngVien_PhongVan'!$G:$G,MATCH($B137,'01_UngVien_PhongVan'!$B:$B,0))=0,"",INDEX('01_UngVien_PhongVan'!$G:$G,MATCH($B137,'01_UngVien_PhongVan'!$B:$B,0))),""))</f>
      </c>
      <c r="H137" s="52">
        <f t="array" ref="H137">IF($B137="","",IFERROR(IF(INDEX('01_UngVien_PhongVan'!$H:$H,MATCH($B137,'01_UngVien_PhongVan'!$B:$B,0))=0,"",INDEX('01_UngVien_PhongVan'!$H:$H,MATCH($B137,'01_UngVien_PhongVan'!$B:$B,0))),""))</f>
      </c>
      <c r="I137" s="60">
        <f t="array" ref="I137">IF($B137="","",IFERROR(IF(INDEX('01_UngVien_PhongVan'!$I:$I,MATCH($B137,'01_UngVien_PhongVan'!$B:$B,0))=0,"",INDEX('01_UngVien_PhongVan'!$I:$I,MATCH($B137,'01_UngVien_PhongVan'!$B:$B,0))),""))</f>
      </c>
      <c r="J137" s="60">
        <f t="array" ref="J137">IF($B137="","",IFERROR(IF(INDEX('01_UngVien_PhongVan'!$J:$J,MATCH($B137,'01_UngVien_PhongVan'!$B:$B,0))=0,"",INDEX('01_UngVien_PhongVan'!$J:$J,MATCH($B137,'01_UngVien_PhongVan'!$B:$B,0))),""))</f>
      </c>
      <c r="K137" s="73">
        <f t="array" ref="K137">IF($B137="","",IFERROR(IF(INDEX('01_UngVien_PhongVan'!$K:$K,MATCH($B137,'01_UngVien_PhongVan'!$B:$B,0))=0,"",INDEX('01_UngVien_PhongVan'!$K:$K,MATCH($B137,'01_UngVien_PhongVan'!$B:$B,0))),""))</f>
      </c>
      <c r="L137" s="60">
        <f t="array" ref="L137">IF($B137="","",IFERROR(IF(INDEX('01_UngVien_PhongVan'!$L:$L,MATCH($B137,'01_UngVien_PhongVan'!$B:$B,0))=0,"",INDEX('01_UngVien_PhongVan'!$L:$L,MATCH($B137,'01_UngVien_PhongVan'!$B:$B,0))),""))</f>
      </c>
      <c r="M137" s="60">
        <f t="array" ref="M137">IF($B137="","",IFERROR(IF(INDEX('01_UngVien_PhongVan'!$E:$E,MATCH($B137,'01_UngVien_PhongVan'!$B:$B,0))=0,"",INDEX('01_UngVien_PhongVan'!$E:$E,MATCH($B137,'01_UngVien_PhongVan'!$B:$B,0))),""))</f>
      </c>
      <c r="N137" s="60">
        <f t="array" ref="N137">IF($B137="","",IFERROR(IF(INDEX('01_UngVien_PhongVan'!$M:$M,MATCH($B137,'01_UngVien_PhongVan'!$B:$B,0))=0,"",INDEX('01_UngVien_PhongVan'!$M:$M,MATCH($B137,'01_UngVien_PhongVan'!$B:$B,0))),""))</f>
      </c>
      <c r="O137" s="60">
        <f t="array" ref="O137">IF($B137="","",IFERROR(IF(INDEX('01_UngVien_PhongVan'!$N:$N,MATCH($B137,'01_UngVien_PhongVan'!$B:$B,0))=0,"",INDEX('01_UngVien_PhongVan'!$N:$N,MATCH($B137,'01_UngVien_PhongVan'!$B:$B,0))),""))</f>
      </c>
      <c r="P137" s="60">
        <f t="array" ref="P137">IF($B137="","",IFERROR(IF(INDEX('01_UngVien_PhongVan'!$O:$O,MATCH($B137,'01_UngVien_PhongVan'!$B:$B,0))=0,"",INDEX('01_UngVien_PhongVan'!$O:$O,MATCH($B137,'01_UngVien_PhongVan'!$B:$B,0))),""))</f>
      </c>
      <c r="Q137" s="60">
        <f t="array" ref="Q137">IF($B137="","",IFERROR(IF(INDEX('01_UngVien_PhongVan'!$P:$P,MATCH($B137,'01_UngVien_PhongVan'!$B:$B,0))=0,"",INDEX('01_UngVien_PhongVan'!$P:$P,MATCH($B137,'01_UngVien_PhongVan'!$B:$B,0))),""))</f>
      </c>
      <c r="R137" s="60">
        <f t="array" ref="R137">IF($B137="","",IFERROR(IF(INDEX('01_UngVien_PhongVan'!$Q:$Q,MATCH($B137,'01_UngVien_PhongVan'!$B:$B,0))=0,"",INDEX('01_UngVien_PhongVan'!$Q:$Q,MATCH($B137,'01_UngVien_PhongVan'!$B:$B,0))),""))</f>
      </c>
      <c r="S137" s="60">
        <f t="array" ref="S137">IF($B137="","",IFERROR(IF(INDEX('01_UngVien_PhongVan'!$R:$R,MATCH($B137,'01_UngVien_PhongVan'!$B:$B,0))=0,"",INDEX('01_UngVien_PhongVan'!$R:$R,MATCH($B137,'01_UngVien_PhongVan'!$B:$B,0))),""))</f>
      </c>
      <c r="T137" s="60">
        <f t="array" ref="T137">IF($B137="","",IFERROR(IF(INDEX('01_UngVien_PhongVan'!$U:$U,MATCH($B137,'01_UngVien_PhongVan'!$B:$B,0))=0,"",INDEX('01_UngVien_PhongVan'!$U:$U,MATCH($B137,'01_UngVien_PhongVan'!$B:$B,0))),""))</f>
      </c>
      <c r="U137" s="73">
        <f t="array" ref="U137">IF($B137="","",IFERROR(IF(INDEX('01_UngVien_PhongVan'!$C:$C,MATCH($B137,'01_UngVien_PhongVan'!$B:$B,0))=0,"",INDEX('01_UngVien_PhongVan'!$C:$C,MATCH($B137,'01_UngVien_PhongVan'!$B:$B,0))),""))</f>
      </c>
      <c r="V137" s="73">
        <f t="array" ref="V137">IF($B137="","",IFERROR(IF(INDEX('02_DS_Nhan_Viec'!$D:$D,MATCH($B137,'02_DS_Nhan_Viec'!$B:$B,0))=0,"",INDEX('02_DS_Nhan_Viec'!$D:$D,MATCH($B137,'02_DS_Nhan_Viec'!$B:$B,0))),""))</f>
      </c>
      <c r="W137" s="73">
        <f t="array" ref="W137">IF($B137="","",IFERROR(IF(INDEX('02_DS_Nhan_Viec'!$E:$E,MATCH($B137,'02_DS_Nhan_Viec'!$B:$B,0))=0,"",INDEX('02_DS_Nhan_Viec'!$E:$E,MATCH($B137,'02_DS_Nhan_Viec'!$B:$B,0))),""))</f>
      </c>
      <c r="X137" s="73">
        <f t="array" ref="X137">IF($C137="","",IFERROR(IF(INDEX('05_Theo_Doi_Gio_Cong_7_Ngay'!$P:$P,MATCH($C137,'05_Theo_Doi_Gio_Cong_7_Ngay'!$B:$B,0))=0,"",INDEX('05_Theo_Doi_Gio_Cong_7_Ngay'!$P:$P,MATCH($C137,'05_Theo_Doi_Gio_Cong_7_Ngay'!$B:$B,0))),""))</f>
      </c>
      <c r="Y137" s="60">
        <f t="array" ref="Y137">IF($C137="","",IFERROR(IF(INDEX('05_Theo_Doi_Gio_Cong_7_Ngay'!$M:$M,MATCH($C137,'05_Theo_Doi_Gio_Cong_7_Ngay'!$B:$B,0))=0,"",INDEX('05_Theo_Doi_Gio_Cong_7_Ngay'!$M:$M,MATCH($C137,'05_Theo_Doi_Gio_Cong_7_Ngay'!$B:$B,0))),""))</f>
      </c>
      <c r="Z137" s="60">
        <f t="array" ref="Z137">IF($C137="","",IFERROR(IF(INDEX('05_Theo_Doi_Gio_Cong_7_Ngay'!$Q:$Q,MATCH($C137,'05_Theo_Doi_Gio_Cong_7_Ngay'!$B:$B,0))=0,"",INDEX('05_Theo_Doi_Gio_Cong_7_Ngay'!$Q:$Q,MATCH($C137,'05_Theo_Doi_Gio_Cong_7_Ngay'!$B:$B,0))),""))</f>
      </c>
      <c r="AA137" s="60">
        <f t="array" ref="AA137">IF($B137="","",IFERROR(IF(INDEX('02_DS_Nhan_Viec'!$H:$H,MATCH($B137,'02_DS_Nhan_Viec'!$B:$B,0))=0,"",INDEX('02_DS_Nhan_Viec'!$H:$H,MATCH($B137,'02_DS_Nhan_Viec'!$B:$B,0))),""))</f>
      </c>
      <c r="AB137" s="60">
        <f t="array" ref="AB137">IF($B137="","",IFERROR(IF(INDEX('02_DS_Nhan_Viec'!$I:$I,MATCH($B137,'02_DS_Nhan_Viec'!$B:$B,0))=0,"",INDEX('02_DS_Nhan_Viec'!$I:$I,MATCH($B137,'02_DS_Nhan_Viec'!$B:$B,0))),""))</f>
      </c>
      <c r="AC137" s="61">
        <f t="array" ref="AC137">IF($B137="","",IF($C137="","Đang theo dõi",IF(OR(IFERROR(INDEX('05_Theo_Doi_Gio_Cong_7_Ngay'!$R:$R,MATCH($C137,'05_Theo_Doi_Gio_Cong_7_Ngay'!$B:$B,0)),"")="",IFERROR(INDEX('05_Theo_Doi_Gio_Cong_7_Ngay'!$R:$R,MATCH($C137,'05_Theo_Doi_Gio_Cong_7_Ngay'!$B:$B,0)),0)=0),"Đang theo dõi",IFERROR(INDEX('06_DS_Chinh_Thuc'!$K:$K,MATCH(IFERROR(INDEX('05_Theo_Doi_Gio_Cong_7_Ngay'!$R:$R,MATCH($C137,'05_Theo_Doi_Gio_Cong_7_Ngay'!$B:$B,0)),0),'06_DS_Chinh_Thuc'!$B:$B,0)),"Đang theo dõi"))))</f>
      </c>
    </row>
    <row r="138" ht="14.25" customHeight="1" spans="1:29" x14ac:dyDescent="0.25">
      <c r="A138" s="52">
        <f t="shared" si="0"/>
      </c>
      <c r="B138" s="52">
        <f t="array" ref="B138">IFERROR(INDEX('02_DS_Nhan_Viec'!$B:$B,MATCH(137,'02_DS_Nhan_Viec'!$M:$M,0)),"")</f>
      </c>
      <c r="C138" s="52">
        <f t="array" ref="C138">IF($B138="","",IFERROR(IF(INDEX('02_DS_Nhan_Viec'!$J:$J,MATCH($B138,'02_DS_Nhan_Viec'!$B:$B,0))=0,"",INDEX('02_DS_Nhan_Viec'!$J:$J,MATCH($B138,'02_DS_Nhan_Viec'!$B:$B,0))),""))</f>
      </c>
      <c r="D138" s="52">
        <f t="array" ref="D138">IF($C138="","",IFERROR(IF(INDEX('05_Theo_Doi_Gio_Cong_7_Ngay'!$R:$R,MATCH($C138,'05_Theo_Doi_Gio_Cong_7_Ngay'!$B:$B,0))=0,"",INDEX('05_Theo_Doi_Gio_Cong_7_Ngay'!$R:$R,MATCH($C138,'05_Theo_Doi_Gio_Cong_7_Ngay'!$B:$B,0))),""))</f>
      </c>
      <c r="E138" s="60">
        <f t="array" ref="E138">IF($B138="","",IFERROR(IF(INDEX('01_UngVien_PhongVan'!$D:$D,MATCH($B138,'01_UngVien_PhongVan'!$B:$B,0))=0,"",INDEX('01_UngVien_PhongVan'!$D:$D,MATCH($B138,'01_UngVien_PhongVan'!$B:$B,0))),""))</f>
      </c>
      <c r="F138" s="52">
        <f t="array" ref="F138">IF($B138="","",IFERROR(IF(INDEX('01_UngVien_PhongVan'!$F:$F,MATCH($B138,'01_UngVien_PhongVan'!$B:$B,0))=0,"",INDEX('01_UngVien_PhongVan'!$F:$F,MATCH($B138,'01_UngVien_PhongVan'!$B:$B,0))),""))</f>
      </c>
      <c r="G138" s="72">
        <f t="array" ref="G138">IF($B138="","",IFERROR(IF(INDEX('01_UngVien_PhongVan'!$G:$G,MATCH($B138,'01_UngVien_PhongVan'!$B:$B,0))=0,"",INDEX('01_UngVien_PhongVan'!$G:$G,MATCH($B138,'01_UngVien_PhongVan'!$B:$B,0))),""))</f>
      </c>
      <c r="H138" s="52">
        <f t="array" ref="H138">IF($B138="","",IFERROR(IF(INDEX('01_UngVien_PhongVan'!$H:$H,MATCH($B138,'01_UngVien_PhongVan'!$B:$B,0))=0,"",INDEX('01_UngVien_PhongVan'!$H:$H,MATCH($B138,'01_UngVien_PhongVan'!$B:$B,0))),""))</f>
      </c>
      <c r="I138" s="60">
        <f t="array" ref="I138">IF($B138="","",IFERROR(IF(INDEX('01_UngVien_PhongVan'!$I:$I,MATCH($B138,'01_UngVien_PhongVan'!$B:$B,0))=0,"",INDEX('01_UngVien_PhongVan'!$I:$I,MATCH($B138,'01_UngVien_PhongVan'!$B:$B,0))),""))</f>
      </c>
      <c r="J138" s="60">
        <f t="array" ref="J138">IF($B138="","",IFERROR(IF(INDEX('01_UngVien_PhongVan'!$J:$J,MATCH($B138,'01_UngVien_PhongVan'!$B:$B,0))=0,"",INDEX('01_UngVien_PhongVan'!$J:$J,MATCH($B138,'01_UngVien_PhongVan'!$B:$B,0))),""))</f>
      </c>
      <c r="K138" s="73">
        <f t="array" ref="K138">IF($B138="","",IFERROR(IF(INDEX('01_UngVien_PhongVan'!$K:$K,MATCH($B138,'01_UngVien_PhongVan'!$B:$B,0))=0,"",INDEX('01_UngVien_PhongVan'!$K:$K,MATCH($B138,'01_UngVien_PhongVan'!$B:$B,0))),""))</f>
      </c>
      <c r="L138" s="60">
        <f t="array" ref="L138">IF($B138="","",IFERROR(IF(INDEX('01_UngVien_PhongVan'!$L:$L,MATCH($B138,'01_UngVien_PhongVan'!$B:$B,0))=0,"",INDEX('01_UngVien_PhongVan'!$L:$L,MATCH($B138,'01_UngVien_PhongVan'!$B:$B,0))),""))</f>
      </c>
      <c r="M138" s="60">
        <f t="array" ref="M138">IF($B138="","",IFERROR(IF(INDEX('01_UngVien_PhongVan'!$E:$E,MATCH($B138,'01_UngVien_PhongVan'!$B:$B,0))=0,"",INDEX('01_UngVien_PhongVan'!$E:$E,MATCH($B138,'01_UngVien_PhongVan'!$B:$B,0))),""))</f>
      </c>
      <c r="N138" s="60">
        <f t="array" ref="N138">IF($B138="","",IFERROR(IF(INDEX('01_UngVien_PhongVan'!$M:$M,MATCH($B138,'01_UngVien_PhongVan'!$B:$B,0))=0,"",INDEX('01_UngVien_PhongVan'!$M:$M,MATCH($B138,'01_UngVien_PhongVan'!$B:$B,0))),""))</f>
      </c>
      <c r="O138" s="60">
        <f t="array" ref="O138">IF($B138="","",IFERROR(IF(INDEX('01_UngVien_PhongVan'!$N:$N,MATCH($B138,'01_UngVien_PhongVan'!$B:$B,0))=0,"",INDEX('01_UngVien_PhongVan'!$N:$N,MATCH($B138,'01_UngVien_PhongVan'!$B:$B,0))),""))</f>
      </c>
      <c r="P138" s="60">
        <f t="array" ref="P138">IF($B138="","",IFERROR(IF(INDEX('01_UngVien_PhongVan'!$O:$O,MATCH($B138,'01_UngVien_PhongVan'!$B:$B,0))=0,"",INDEX('01_UngVien_PhongVan'!$O:$O,MATCH($B138,'01_UngVien_PhongVan'!$B:$B,0))),""))</f>
      </c>
      <c r="Q138" s="60">
        <f t="array" ref="Q138">IF($B138="","",IFERROR(IF(INDEX('01_UngVien_PhongVan'!$P:$P,MATCH($B138,'01_UngVien_PhongVan'!$B:$B,0))=0,"",INDEX('01_UngVien_PhongVan'!$P:$P,MATCH($B138,'01_UngVien_PhongVan'!$B:$B,0))),""))</f>
      </c>
      <c r="R138" s="60">
        <f t="array" ref="R138">IF($B138="","",IFERROR(IF(INDEX('01_UngVien_PhongVan'!$Q:$Q,MATCH($B138,'01_UngVien_PhongVan'!$B:$B,0))=0,"",INDEX('01_UngVien_PhongVan'!$Q:$Q,MATCH($B138,'01_UngVien_PhongVan'!$B:$B,0))),""))</f>
      </c>
      <c r="S138" s="60">
        <f t="array" ref="S138">IF($B138="","",IFERROR(IF(INDEX('01_UngVien_PhongVan'!$R:$R,MATCH($B138,'01_UngVien_PhongVan'!$B:$B,0))=0,"",INDEX('01_UngVien_PhongVan'!$R:$R,MATCH($B138,'01_UngVien_PhongVan'!$B:$B,0))),""))</f>
      </c>
      <c r="T138" s="60">
        <f t="array" ref="T138">IF($B138="","",IFERROR(IF(INDEX('01_UngVien_PhongVan'!$U:$U,MATCH($B138,'01_UngVien_PhongVan'!$B:$B,0))=0,"",INDEX('01_UngVien_PhongVan'!$U:$U,MATCH($B138,'01_UngVien_PhongVan'!$B:$B,0))),""))</f>
      </c>
      <c r="U138" s="73">
        <f t="array" ref="U138">IF($B138="","",IFERROR(IF(INDEX('01_UngVien_PhongVan'!$C:$C,MATCH($B138,'01_UngVien_PhongVan'!$B:$B,0))=0,"",INDEX('01_UngVien_PhongVan'!$C:$C,MATCH($B138,'01_UngVien_PhongVan'!$B:$B,0))),""))</f>
      </c>
      <c r="V138" s="73">
        <f t="array" ref="V138">IF($B138="","",IFERROR(IF(INDEX('02_DS_Nhan_Viec'!$D:$D,MATCH($B138,'02_DS_Nhan_Viec'!$B:$B,0))=0,"",INDEX('02_DS_Nhan_Viec'!$D:$D,MATCH($B138,'02_DS_Nhan_Viec'!$B:$B,0))),""))</f>
      </c>
      <c r="W138" s="73">
        <f t="array" ref="W138">IF($B138="","",IFERROR(IF(INDEX('02_DS_Nhan_Viec'!$E:$E,MATCH($B138,'02_DS_Nhan_Viec'!$B:$B,0))=0,"",INDEX('02_DS_Nhan_Viec'!$E:$E,MATCH($B138,'02_DS_Nhan_Viec'!$B:$B,0))),""))</f>
      </c>
      <c r="X138" s="73">
        <f t="array" ref="X138">IF($C138="","",IFERROR(IF(INDEX('05_Theo_Doi_Gio_Cong_7_Ngay'!$P:$P,MATCH($C138,'05_Theo_Doi_Gio_Cong_7_Ngay'!$B:$B,0))=0,"",INDEX('05_Theo_Doi_Gio_Cong_7_Ngay'!$P:$P,MATCH($C138,'05_Theo_Doi_Gio_Cong_7_Ngay'!$B:$B,0))),""))</f>
      </c>
      <c r="Y138" s="60">
        <f t="array" ref="Y138">IF($C138="","",IFERROR(IF(INDEX('05_Theo_Doi_Gio_Cong_7_Ngay'!$M:$M,MATCH($C138,'05_Theo_Doi_Gio_Cong_7_Ngay'!$B:$B,0))=0,"",INDEX('05_Theo_Doi_Gio_Cong_7_Ngay'!$M:$M,MATCH($C138,'05_Theo_Doi_Gio_Cong_7_Ngay'!$B:$B,0))),""))</f>
      </c>
      <c r="Z138" s="60">
        <f t="array" ref="Z138">IF($C138="","",IFERROR(IF(INDEX('05_Theo_Doi_Gio_Cong_7_Ngay'!$Q:$Q,MATCH($C138,'05_Theo_Doi_Gio_Cong_7_Ngay'!$B:$B,0))=0,"",INDEX('05_Theo_Doi_Gio_Cong_7_Ngay'!$Q:$Q,MATCH($C138,'05_Theo_Doi_Gio_Cong_7_Ngay'!$B:$B,0))),""))</f>
      </c>
      <c r="AA138" s="60">
        <f t="array" ref="AA138">IF($B138="","",IFERROR(IF(INDEX('02_DS_Nhan_Viec'!$H:$H,MATCH($B138,'02_DS_Nhan_Viec'!$B:$B,0))=0,"",INDEX('02_DS_Nhan_Viec'!$H:$H,MATCH($B138,'02_DS_Nhan_Viec'!$B:$B,0))),""))</f>
      </c>
      <c r="AB138" s="60">
        <f t="array" ref="AB138">IF($B138="","",IFERROR(IF(INDEX('02_DS_Nhan_Viec'!$I:$I,MATCH($B138,'02_DS_Nhan_Viec'!$B:$B,0))=0,"",INDEX('02_DS_Nhan_Viec'!$I:$I,MATCH($B138,'02_DS_Nhan_Viec'!$B:$B,0))),""))</f>
      </c>
      <c r="AC138" s="61">
        <f t="array" ref="AC138">IF($B138="","",IF($C138="","Đang theo dõi",IF(OR(IFERROR(INDEX('05_Theo_Doi_Gio_Cong_7_Ngay'!$R:$R,MATCH($C138,'05_Theo_Doi_Gio_Cong_7_Ngay'!$B:$B,0)),"")="",IFERROR(INDEX('05_Theo_Doi_Gio_Cong_7_Ngay'!$R:$R,MATCH($C138,'05_Theo_Doi_Gio_Cong_7_Ngay'!$B:$B,0)),0)=0),"Đang theo dõi",IFERROR(INDEX('06_DS_Chinh_Thuc'!$K:$K,MATCH(IFERROR(INDEX('05_Theo_Doi_Gio_Cong_7_Ngay'!$R:$R,MATCH($C138,'05_Theo_Doi_Gio_Cong_7_Ngay'!$B:$B,0)),0),'06_DS_Chinh_Thuc'!$B:$B,0)),"Đang theo dõi"))))</f>
      </c>
    </row>
    <row r="139" ht="14.25" customHeight="1" spans="1:29" x14ac:dyDescent="0.25">
      <c r="A139" s="52">
        <f t="shared" si="0"/>
      </c>
      <c r="B139" s="52">
        <f t="array" ref="B139">IFERROR(INDEX('02_DS_Nhan_Viec'!$B:$B,MATCH(138,'02_DS_Nhan_Viec'!$M:$M,0)),"")</f>
      </c>
      <c r="C139" s="52">
        <f t="array" ref="C139">IF($B139="","",IFERROR(IF(INDEX('02_DS_Nhan_Viec'!$J:$J,MATCH($B139,'02_DS_Nhan_Viec'!$B:$B,0))=0,"",INDEX('02_DS_Nhan_Viec'!$J:$J,MATCH($B139,'02_DS_Nhan_Viec'!$B:$B,0))),""))</f>
      </c>
      <c r="D139" s="52">
        <f t="array" ref="D139">IF($C139="","",IFERROR(IF(INDEX('05_Theo_Doi_Gio_Cong_7_Ngay'!$R:$R,MATCH($C139,'05_Theo_Doi_Gio_Cong_7_Ngay'!$B:$B,0))=0,"",INDEX('05_Theo_Doi_Gio_Cong_7_Ngay'!$R:$R,MATCH($C139,'05_Theo_Doi_Gio_Cong_7_Ngay'!$B:$B,0))),""))</f>
      </c>
      <c r="E139" s="60">
        <f t="array" ref="E139">IF($B139="","",IFERROR(IF(INDEX('01_UngVien_PhongVan'!$D:$D,MATCH($B139,'01_UngVien_PhongVan'!$B:$B,0))=0,"",INDEX('01_UngVien_PhongVan'!$D:$D,MATCH($B139,'01_UngVien_PhongVan'!$B:$B,0))),""))</f>
      </c>
      <c r="F139" s="52">
        <f t="array" ref="F139">IF($B139="","",IFERROR(IF(INDEX('01_UngVien_PhongVan'!$F:$F,MATCH($B139,'01_UngVien_PhongVan'!$B:$B,0))=0,"",INDEX('01_UngVien_PhongVan'!$F:$F,MATCH($B139,'01_UngVien_PhongVan'!$B:$B,0))),""))</f>
      </c>
      <c r="G139" s="72">
        <f t="array" ref="G139">IF($B139="","",IFERROR(IF(INDEX('01_UngVien_PhongVan'!$G:$G,MATCH($B139,'01_UngVien_PhongVan'!$B:$B,0))=0,"",INDEX('01_UngVien_PhongVan'!$G:$G,MATCH($B139,'01_UngVien_PhongVan'!$B:$B,0))),""))</f>
      </c>
      <c r="H139" s="52">
        <f t="array" ref="H139">IF($B139="","",IFERROR(IF(INDEX('01_UngVien_PhongVan'!$H:$H,MATCH($B139,'01_UngVien_PhongVan'!$B:$B,0))=0,"",INDEX('01_UngVien_PhongVan'!$H:$H,MATCH($B139,'01_UngVien_PhongVan'!$B:$B,0))),""))</f>
      </c>
      <c r="I139" s="60">
        <f t="array" ref="I139">IF($B139="","",IFERROR(IF(INDEX('01_UngVien_PhongVan'!$I:$I,MATCH($B139,'01_UngVien_PhongVan'!$B:$B,0))=0,"",INDEX('01_UngVien_PhongVan'!$I:$I,MATCH($B139,'01_UngVien_PhongVan'!$B:$B,0))),""))</f>
      </c>
      <c r="J139" s="60">
        <f t="array" ref="J139">IF($B139="","",IFERROR(IF(INDEX('01_UngVien_PhongVan'!$J:$J,MATCH($B139,'01_UngVien_PhongVan'!$B:$B,0))=0,"",INDEX('01_UngVien_PhongVan'!$J:$J,MATCH($B139,'01_UngVien_PhongVan'!$B:$B,0))),""))</f>
      </c>
      <c r="K139" s="73">
        <f t="array" ref="K139">IF($B139="","",IFERROR(IF(INDEX('01_UngVien_PhongVan'!$K:$K,MATCH($B139,'01_UngVien_PhongVan'!$B:$B,0))=0,"",INDEX('01_UngVien_PhongVan'!$K:$K,MATCH($B139,'01_UngVien_PhongVan'!$B:$B,0))),""))</f>
      </c>
      <c r="L139" s="60">
        <f t="array" ref="L139">IF($B139="","",IFERROR(IF(INDEX('01_UngVien_PhongVan'!$L:$L,MATCH($B139,'01_UngVien_PhongVan'!$B:$B,0))=0,"",INDEX('01_UngVien_PhongVan'!$L:$L,MATCH($B139,'01_UngVien_PhongVan'!$B:$B,0))),""))</f>
      </c>
      <c r="M139" s="60">
        <f t="array" ref="M139">IF($B139="","",IFERROR(IF(INDEX('01_UngVien_PhongVan'!$E:$E,MATCH($B139,'01_UngVien_PhongVan'!$B:$B,0))=0,"",INDEX('01_UngVien_PhongVan'!$E:$E,MATCH($B139,'01_UngVien_PhongVan'!$B:$B,0))),""))</f>
      </c>
      <c r="N139" s="60">
        <f t="array" ref="N139">IF($B139="","",IFERROR(IF(INDEX('01_UngVien_PhongVan'!$M:$M,MATCH($B139,'01_UngVien_PhongVan'!$B:$B,0))=0,"",INDEX('01_UngVien_PhongVan'!$M:$M,MATCH($B139,'01_UngVien_PhongVan'!$B:$B,0))),""))</f>
      </c>
      <c r="O139" s="60">
        <f t="array" ref="O139">IF($B139="","",IFERROR(IF(INDEX('01_UngVien_PhongVan'!$N:$N,MATCH($B139,'01_UngVien_PhongVan'!$B:$B,0))=0,"",INDEX('01_UngVien_PhongVan'!$N:$N,MATCH($B139,'01_UngVien_PhongVan'!$B:$B,0))),""))</f>
      </c>
      <c r="P139" s="60">
        <f t="array" ref="P139">IF($B139="","",IFERROR(IF(INDEX('01_UngVien_PhongVan'!$O:$O,MATCH($B139,'01_UngVien_PhongVan'!$B:$B,0))=0,"",INDEX('01_UngVien_PhongVan'!$O:$O,MATCH($B139,'01_UngVien_PhongVan'!$B:$B,0))),""))</f>
      </c>
      <c r="Q139" s="60">
        <f t="array" ref="Q139">IF($B139="","",IFERROR(IF(INDEX('01_UngVien_PhongVan'!$P:$P,MATCH($B139,'01_UngVien_PhongVan'!$B:$B,0))=0,"",INDEX('01_UngVien_PhongVan'!$P:$P,MATCH($B139,'01_UngVien_PhongVan'!$B:$B,0))),""))</f>
      </c>
      <c r="R139" s="60">
        <f t="array" ref="R139">IF($B139="","",IFERROR(IF(INDEX('01_UngVien_PhongVan'!$Q:$Q,MATCH($B139,'01_UngVien_PhongVan'!$B:$B,0))=0,"",INDEX('01_UngVien_PhongVan'!$Q:$Q,MATCH($B139,'01_UngVien_PhongVan'!$B:$B,0))),""))</f>
      </c>
      <c r="S139" s="60">
        <f t="array" ref="S139">IF($B139="","",IFERROR(IF(INDEX('01_UngVien_PhongVan'!$R:$R,MATCH($B139,'01_UngVien_PhongVan'!$B:$B,0))=0,"",INDEX('01_UngVien_PhongVan'!$R:$R,MATCH($B139,'01_UngVien_PhongVan'!$B:$B,0))),""))</f>
      </c>
      <c r="T139" s="60">
        <f t="array" ref="T139">IF($B139="","",IFERROR(IF(INDEX('01_UngVien_PhongVan'!$U:$U,MATCH($B139,'01_UngVien_PhongVan'!$B:$B,0))=0,"",INDEX('01_UngVien_PhongVan'!$U:$U,MATCH($B139,'01_UngVien_PhongVan'!$B:$B,0))),""))</f>
      </c>
      <c r="U139" s="73">
        <f t="array" ref="U139">IF($B139="","",IFERROR(IF(INDEX('01_UngVien_PhongVan'!$C:$C,MATCH($B139,'01_UngVien_PhongVan'!$B:$B,0))=0,"",INDEX('01_UngVien_PhongVan'!$C:$C,MATCH($B139,'01_UngVien_PhongVan'!$B:$B,0))),""))</f>
      </c>
      <c r="V139" s="73">
        <f t="array" ref="V139">IF($B139="","",IFERROR(IF(INDEX('02_DS_Nhan_Viec'!$D:$D,MATCH($B139,'02_DS_Nhan_Viec'!$B:$B,0))=0,"",INDEX('02_DS_Nhan_Viec'!$D:$D,MATCH($B139,'02_DS_Nhan_Viec'!$B:$B,0))),""))</f>
      </c>
      <c r="W139" s="73">
        <f t="array" ref="W139">IF($B139="","",IFERROR(IF(INDEX('02_DS_Nhan_Viec'!$E:$E,MATCH($B139,'02_DS_Nhan_Viec'!$B:$B,0))=0,"",INDEX('02_DS_Nhan_Viec'!$E:$E,MATCH($B139,'02_DS_Nhan_Viec'!$B:$B,0))),""))</f>
      </c>
      <c r="X139" s="73">
        <f t="array" ref="X139">IF($C139="","",IFERROR(IF(INDEX('05_Theo_Doi_Gio_Cong_7_Ngay'!$P:$P,MATCH($C139,'05_Theo_Doi_Gio_Cong_7_Ngay'!$B:$B,0))=0,"",INDEX('05_Theo_Doi_Gio_Cong_7_Ngay'!$P:$P,MATCH($C139,'05_Theo_Doi_Gio_Cong_7_Ngay'!$B:$B,0))),""))</f>
      </c>
      <c r="Y139" s="60">
        <f t="array" ref="Y139">IF($C139="","",IFERROR(IF(INDEX('05_Theo_Doi_Gio_Cong_7_Ngay'!$M:$M,MATCH($C139,'05_Theo_Doi_Gio_Cong_7_Ngay'!$B:$B,0))=0,"",INDEX('05_Theo_Doi_Gio_Cong_7_Ngay'!$M:$M,MATCH($C139,'05_Theo_Doi_Gio_Cong_7_Ngay'!$B:$B,0))),""))</f>
      </c>
      <c r="Z139" s="60">
        <f t="array" ref="Z139">IF($C139="","",IFERROR(IF(INDEX('05_Theo_Doi_Gio_Cong_7_Ngay'!$Q:$Q,MATCH($C139,'05_Theo_Doi_Gio_Cong_7_Ngay'!$B:$B,0))=0,"",INDEX('05_Theo_Doi_Gio_Cong_7_Ngay'!$Q:$Q,MATCH($C139,'05_Theo_Doi_Gio_Cong_7_Ngay'!$B:$B,0))),""))</f>
      </c>
      <c r="AA139" s="60">
        <f t="array" ref="AA139">IF($B139="","",IFERROR(IF(INDEX('02_DS_Nhan_Viec'!$H:$H,MATCH($B139,'02_DS_Nhan_Viec'!$B:$B,0))=0,"",INDEX('02_DS_Nhan_Viec'!$H:$H,MATCH($B139,'02_DS_Nhan_Viec'!$B:$B,0))),""))</f>
      </c>
      <c r="AB139" s="60">
        <f t="array" ref="AB139">IF($B139="","",IFERROR(IF(INDEX('02_DS_Nhan_Viec'!$I:$I,MATCH($B139,'02_DS_Nhan_Viec'!$B:$B,0))=0,"",INDEX('02_DS_Nhan_Viec'!$I:$I,MATCH($B139,'02_DS_Nhan_Viec'!$B:$B,0))),""))</f>
      </c>
      <c r="AC139" s="61">
        <f t="array" ref="AC139">IF($B139="","",IF($C139="","Đang theo dõi",IF(OR(IFERROR(INDEX('05_Theo_Doi_Gio_Cong_7_Ngay'!$R:$R,MATCH($C139,'05_Theo_Doi_Gio_Cong_7_Ngay'!$B:$B,0)),"")="",IFERROR(INDEX('05_Theo_Doi_Gio_Cong_7_Ngay'!$R:$R,MATCH($C139,'05_Theo_Doi_Gio_Cong_7_Ngay'!$B:$B,0)),0)=0),"Đang theo dõi",IFERROR(INDEX('06_DS_Chinh_Thuc'!$K:$K,MATCH(IFERROR(INDEX('05_Theo_Doi_Gio_Cong_7_Ngay'!$R:$R,MATCH($C139,'05_Theo_Doi_Gio_Cong_7_Ngay'!$B:$B,0)),0),'06_DS_Chinh_Thuc'!$B:$B,0)),"Đang theo dõi"))))</f>
      </c>
    </row>
    <row r="140" ht="14.25" customHeight="1" spans="1:29" x14ac:dyDescent="0.25">
      <c r="A140" s="52">
        <f t="shared" si="0"/>
      </c>
      <c r="B140" s="52">
        <f t="array" ref="B140">IFERROR(INDEX('02_DS_Nhan_Viec'!$B:$B,MATCH(139,'02_DS_Nhan_Viec'!$M:$M,0)),"")</f>
      </c>
      <c r="C140" s="52">
        <f t="array" ref="C140">IF($B140="","",IFERROR(IF(INDEX('02_DS_Nhan_Viec'!$J:$J,MATCH($B140,'02_DS_Nhan_Viec'!$B:$B,0))=0,"",INDEX('02_DS_Nhan_Viec'!$J:$J,MATCH($B140,'02_DS_Nhan_Viec'!$B:$B,0))),""))</f>
      </c>
      <c r="D140" s="52">
        <f t="array" ref="D140">IF($C140="","",IFERROR(IF(INDEX('05_Theo_Doi_Gio_Cong_7_Ngay'!$R:$R,MATCH($C140,'05_Theo_Doi_Gio_Cong_7_Ngay'!$B:$B,0))=0,"",INDEX('05_Theo_Doi_Gio_Cong_7_Ngay'!$R:$R,MATCH($C140,'05_Theo_Doi_Gio_Cong_7_Ngay'!$B:$B,0))),""))</f>
      </c>
      <c r="E140" s="60">
        <f t="array" ref="E140">IF($B140="","",IFERROR(IF(INDEX('01_UngVien_PhongVan'!$D:$D,MATCH($B140,'01_UngVien_PhongVan'!$B:$B,0))=0,"",INDEX('01_UngVien_PhongVan'!$D:$D,MATCH($B140,'01_UngVien_PhongVan'!$B:$B,0))),""))</f>
      </c>
      <c r="F140" s="52">
        <f t="array" ref="F140">IF($B140="","",IFERROR(IF(INDEX('01_UngVien_PhongVan'!$F:$F,MATCH($B140,'01_UngVien_PhongVan'!$B:$B,0))=0,"",INDEX('01_UngVien_PhongVan'!$F:$F,MATCH($B140,'01_UngVien_PhongVan'!$B:$B,0))),""))</f>
      </c>
      <c r="G140" s="72">
        <f t="array" ref="G140">IF($B140="","",IFERROR(IF(INDEX('01_UngVien_PhongVan'!$G:$G,MATCH($B140,'01_UngVien_PhongVan'!$B:$B,0))=0,"",INDEX('01_UngVien_PhongVan'!$G:$G,MATCH($B140,'01_UngVien_PhongVan'!$B:$B,0))),""))</f>
      </c>
      <c r="H140" s="52">
        <f t="array" ref="H140">IF($B140="","",IFERROR(IF(INDEX('01_UngVien_PhongVan'!$H:$H,MATCH($B140,'01_UngVien_PhongVan'!$B:$B,0))=0,"",INDEX('01_UngVien_PhongVan'!$H:$H,MATCH($B140,'01_UngVien_PhongVan'!$B:$B,0))),""))</f>
      </c>
      <c r="I140" s="60">
        <f t="array" ref="I140">IF($B140="","",IFERROR(IF(INDEX('01_UngVien_PhongVan'!$I:$I,MATCH($B140,'01_UngVien_PhongVan'!$B:$B,0))=0,"",INDEX('01_UngVien_PhongVan'!$I:$I,MATCH($B140,'01_UngVien_PhongVan'!$B:$B,0))),""))</f>
      </c>
      <c r="J140" s="60">
        <f t="array" ref="J140">IF($B140="","",IFERROR(IF(INDEX('01_UngVien_PhongVan'!$J:$J,MATCH($B140,'01_UngVien_PhongVan'!$B:$B,0))=0,"",INDEX('01_UngVien_PhongVan'!$J:$J,MATCH($B140,'01_UngVien_PhongVan'!$B:$B,0))),""))</f>
      </c>
      <c r="K140" s="73">
        <f t="array" ref="K140">IF($B140="","",IFERROR(IF(INDEX('01_UngVien_PhongVan'!$K:$K,MATCH($B140,'01_UngVien_PhongVan'!$B:$B,0))=0,"",INDEX('01_UngVien_PhongVan'!$K:$K,MATCH($B140,'01_UngVien_PhongVan'!$B:$B,0))),""))</f>
      </c>
      <c r="L140" s="60">
        <f t="array" ref="L140">IF($B140="","",IFERROR(IF(INDEX('01_UngVien_PhongVan'!$L:$L,MATCH($B140,'01_UngVien_PhongVan'!$B:$B,0))=0,"",INDEX('01_UngVien_PhongVan'!$L:$L,MATCH($B140,'01_UngVien_PhongVan'!$B:$B,0))),""))</f>
      </c>
      <c r="M140" s="60">
        <f t="array" ref="M140">IF($B140="","",IFERROR(IF(INDEX('01_UngVien_PhongVan'!$E:$E,MATCH($B140,'01_UngVien_PhongVan'!$B:$B,0))=0,"",INDEX('01_UngVien_PhongVan'!$E:$E,MATCH($B140,'01_UngVien_PhongVan'!$B:$B,0))),""))</f>
      </c>
      <c r="N140" s="60">
        <f t="array" ref="N140">IF($B140="","",IFERROR(IF(INDEX('01_UngVien_PhongVan'!$M:$M,MATCH($B140,'01_UngVien_PhongVan'!$B:$B,0))=0,"",INDEX('01_UngVien_PhongVan'!$M:$M,MATCH($B140,'01_UngVien_PhongVan'!$B:$B,0))),""))</f>
      </c>
      <c r="O140" s="60">
        <f t="array" ref="O140">IF($B140="","",IFERROR(IF(INDEX('01_UngVien_PhongVan'!$N:$N,MATCH($B140,'01_UngVien_PhongVan'!$B:$B,0))=0,"",INDEX('01_UngVien_PhongVan'!$N:$N,MATCH($B140,'01_UngVien_PhongVan'!$B:$B,0))),""))</f>
      </c>
      <c r="P140" s="60">
        <f t="array" ref="P140">IF($B140="","",IFERROR(IF(INDEX('01_UngVien_PhongVan'!$O:$O,MATCH($B140,'01_UngVien_PhongVan'!$B:$B,0))=0,"",INDEX('01_UngVien_PhongVan'!$O:$O,MATCH($B140,'01_UngVien_PhongVan'!$B:$B,0))),""))</f>
      </c>
      <c r="Q140" s="60">
        <f t="array" ref="Q140">IF($B140="","",IFERROR(IF(INDEX('01_UngVien_PhongVan'!$P:$P,MATCH($B140,'01_UngVien_PhongVan'!$B:$B,0))=0,"",INDEX('01_UngVien_PhongVan'!$P:$P,MATCH($B140,'01_UngVien_PhongVan'!$B:$B,0))),""))</f>
      </c>
      <c r="R140" s="60">
        <f t="array" ref="R140">IF($B140="","",IFERROR(IF(INDEX('01_UngVien_PhongVan'!$Q:$Q,MATCH($B140,'01_UngVien_PhongVan'!$B:$B,0))=0,"",INDEX('01_UngVien_PhongVan'!$Q:$Q,MATCH($B140,'01_UngVien_PhongVan'!$B:$B,0))),""))</f>
      </c>
      <c r="S140" s="60">
        <f t="array" ref="S140">IF($B140="","",IFERROR(IF(INDEX('01_UngVien_PhongVan'!$R:$R,MATCH($B140,'01_UngVien_PhongVan'!$B:$B,0))=0,"",INDEX('01_UngVien_PhongVan'!$R:$R,MATCH($B140,'01_UngVien_PhongVan'!$B:$B,0))),""))</f>
      </c>
      <c r="T140" s="60">
        <f t="array" ref="T140">IF($B140="","",IFERROR(IF(INDEX('01_UngVien_PhongVan'!$U:$U,MATCH($B140,'01_UngVien_PhongVan'!$B:$B,0))=0,"",INDEX('01_UngVien_PhongVan'!$U:$U,MATCH($B140,'01_UngVien_PhongVan'!$B:$B,0))),""))</f>
      </c>
      <c r="U140" s="73">
        <f t="array" ref="U140">IF($B140="","",IFERROR(IF(INDEX('01_UngVien_PhongVan'!$C:$C,MATCH($B140,'01_UngVien_PhongVan'!$B:$B,0))=0,"",INDEX('01_UngVien_PhongVan'!$C:$C,MATCH($B140,'01_UngVien_PhongVan'!$B:$B,0))),""))</f>
      </c>
      <c r="V140" s="73">
        <f t="array" ref="V140">IF($B140="","",IFERROR(IF(INDEX('02_DS_Nhan_Viec'!$D:$D,MATCH($B140,'02_DS_Nhan_Viec'!$B:$B,0))=0,"",INDEX('02_DS_Nhan_Viec'!$D:$D,MATCH($B140,'02_DS_Nhan_Viec'!$B:$B,0))),""))</f>
      </c>
      <c r="W140" s="73">
        <f t="array" ref="W140">IF($B140="","",IFERROR(IF(INDEX('02_DS_Nhan_Viec'!$E:$E,MATCH($B140,'02_DS_Nhan_Viec'!$B:$B,0))=0,"",INDEX('02_DS_Nhan_Viec'!$E:$E,MATCH($B140,'02_DS_Nhan_Viec'!$B:$B,0))),""))</f>
      </c>
      <c r="X140" s="73">
        <f t="array" ref="X140">IF($C140="","",IFERROR(IF(INDEX('05_Theo_Doi_Gio_Cong_7_Ngay'!$P:$P,MATCH($C140,'05_Theo_Doi_Gio_Cong_7_Ngay'!$B:$B,0))=0,"",INDEX('05_Theo_Doi_Gio_Cong_7_Ngay'!$P:$P,MATCH($C140,'05_Theo_Doi_Gio_Cong_7_Ngay'!$B:$B,0))),""))</f>
      </c>
      <c r="Y140" s="60">
        <f t="array" ref="Y140">IF($C140="","",IFERROR(IF(INDEX('05_Theo_Doi_Gio_Cong_7_Ngay'!$M:$M,MATCH($C140,'05_Theo_Doi_Gio_Cong_7_Ngay'!$B:$B,0))=0,"",INDEX('05_Theo_Doi_Gio_Cong_7_Ngay'!$M:$M,MATCH($C140,'05_Theo_Doi_Gio_Cong_7_Ngay'!$B:$B,0))),""))</f>
      </c>
      <c r="Z140" s="60">
        <f t="array" ref="Z140">IF($C140="","",IFERROR(IF(INDEX('05_Theo_Doi_Gio_Cong_7_Ngay'!$Q:$Q,MATCH($C140,'05_Theo_Doi_Gio_Cong_7_Ngay'!$B:$B,0))=0,"",INDEX('05_Theo_Doi_Gio_Cong_7_Ngay'!$Q:$Q,MATCH($C140,'05_Theo_Doi_Gio_Cong_7_Ngay'!$B:$B,0))),""))</f>
      </c>
      <c r="AA140" s="60">
        <f t="array" ref="AA140">IF($B140="","",IFERROR(IF(INDEX('02_DS_Nhan_Viec'!$H:$H,MATCH($B140,'02_DS_Nhan_Viec'!$B:$B,0))=0,"",INDEX('02_DS_Nhan_Viec'!$H:$H,MATCH($B140,'02_DS_Nhan_Viec'!$B:$B,0))),""))</f>
      </c>
      <c r="AB140" s="60">
        <f t="array" ref="AB140">IF($B140="","",IFERROR(IF(INDEX('02_DS_Nhan_Viec'!$I:$I,MATCH($B140,'02_DS_Nhan_Viec'!$B:$B,0))=0,"",INDEX('02_DS_Nhan_Viec'!$I:$I,MATCH($B140,'02_DS_Nhan_Viec'!$B:$B,0))),""))</f>
      </c>
      <c r="AC140" s="61">
        <f t="array" ref="AC140">IF($B140="","",IF($C140="","Đang theo dõi",IF(OR(IFERROR(INDEX('05_Theo_Doi_Gio_Cong_7_Ngay'!$R:$R,MATCH($C140,'05_Theo_Doi_Gio_Cong_7_Ngay'!$B:$B,0)),"")="",IFERROR(INDEX('05_Theo_Doi_Gio_Cong_7_Ngay'!$R:$R,MATCH($C140,'05_Theo_Doi_Gio_Cong_7_Ngay'!$B:$B,0)),0)=0),"Đang theo dõi",IFERROR(INDEX('06_DS_Chinh_Thuc'!$K:$K,MATCH(IFERROR(INDEX('05_Theo_Doi_Gio_Cong_7_Ngay'!$R:$R,MATCH($C140,'05_Theo_Doi_Gio_Cong_7_Ngay'!$B:$B,0)),0),'06_DS_Chinh_Thuc'!$B:$B,0)),"Đang theo dõi"))))</f>
      </c>
    </row>
    <row r="141" ht="14.25" customHeight="1" spans="1:29" x14ac:dyDescent="0.25">
      <c r="A141" s="52">
        <f t="shared" si="0"/>
      </c>
      <c r="B141" s="52">
        <f t="array" ref="B141">IFERROR(INDEX('02_DS_Nhan_Viec'!$B:$B,MATCH(140,'02_DS_Nhan_Viec'!$M:$M,0)),"")</f>
      </c>
      <c r="C141" s="52">
        <f t="array" ref="C141">IF($B141="","",IFERROR(IF(INDEX('02_DS_Nhan_Viec'!$J:$J,MATCH($B141,'02_DS_Nhan_Viec'!$B:$B,0))=0,"",INDEX('02_DS_Nhan_Viec'!$J:$J,MATCH($B141,'02_DS_Nhan_Viec'!$B:$B,0))),""))</f>
      </c>
      <c r="D141" s="52">
        <f t="array" ref="D141">IF($C141="","",IFERROR(IF(INDEX('05_Theo_Doi_Gio_Cong_7_Ngay'!$R:$R,MATCH($C141,'05_Theo_Doi_Gio_Cong_7_Ngay'!$B:$B,0))=0,"",INDEX('05_Theo_Doi_Gio_Cong_7_Ngay'!$R:$R,MATCH($C141,'05_Theo_Doi_Gio_Cong_7_Ngay'!$B:$B,0))),""))</f>
      </c>
      <c r="E141" s="60">
        <f t="array" ref="E141">IF($B141="","",IFERROR(IF(INDEX('01_UngVien_PhongVan'!$D:$D,MATCH($B141,'01_UngVien_PhongVan'!$B:$B,0))=0,"",INDEX('01_UngVien_PhongVan'!$D:$D,MATCH($B141,'01_UngVien_PhongVan'!$B:$B,0))),""))</f>
      </c>
      <c r="F141" s="52">
        <f t="array" ref="F141">IF($B141="","",IFERROR(IF(INDEX('01_UngVien_PhongVan'!$F:$F,MATCH($B141,'01_UngVien_PhongVan'!$B:$B,0))=0,"",INDEX('01_UngVien_PhongVan'!$F:$F,MATCH($B141,'01_UngVien_PhongVan'!$B:$B,0))),""))</f>
      </c>
      <c r="G141" s="72">
        <f t="array" ref="G141">IF($B141="","",IFERROR(IF(INDEX('01_UngVien_PhongVan'!$G:$G,MATCH($B141,'01_UngVien_PhongVan'!$B:$B,0))=0,"",INDEX('01_UngVien_PhongVan'!$G:$G,MATCH($B141,'01_UngVien_PhongVan'!$B:$B,0))),""))</f>
      </c>
      <c r="H141" s="52">
        <f t="array" ref="H141">IF($B141="","",IFERROR(IF(INDEX('01_UngVien_PhongVan'!$H:$H,MATCH($B141,'01_UngVien_PhongVan'!$B:$B,0))=0,"",INDEX('01_UngVien_PhongVan'!$H:$H,MATCH($B141,'01_UngVien_PhongVan'!$B:$B,0))),""))</f>
      </c>
      <c r="I141" s="60">
        <f t="array" ref="I141">IF($B141="","",IFERROR(IF(INDEX('01_UngVien_PhongVan'!$I:$I,MATCH($B141,'01_UngVien_PhongVan'!$B:$B,0))=0,"",INDEX('01_UngVien_PhongVan'!$I:$I,MATCH($B141,'01_UngVien_PhongVan'!$B:$B,0))),""))</f>
      </c>
      <c r="J141" s="60">
        <f t="array" ref="J141">IF($B141="","",IFERROR(IF(INDEX('01_UngVien_PhongVan'!$J:$J,MATCH($B141,'01_UngVien_PhongVan'!$B:$B,0))=0,"",INDEX('01_UngVien_PhongVan'!$J:$J,MATCH($B141,'01_UngVien_PhongVan'!$B:$B,0))),""))</f>
      </c>
      <c r="K141" s="73">
        <f t="array" ref="K141">IF($B141="","",IFERROR(IF(INDEX('01_UngVien_PhongVan'!$K:$K,MATCH($B141,'01_UngVien_PhongVan'!$B:$B,0))=0,"",INDEX('01_UngVien_PhongVan'!$K:$K,MATCH($B141,'01_UngVien_PhongVan'!$B:$B,0))),""))</f>
      </c>
      <c r="L141" s="60">
        <f t="array" ref="L141">IF($B141="","",IFERROR(IF(INDEX('01_UngVien_PhongVan'!$L:$L,MATCH($B141,'01_UngVien_PhongVan'!$B:$B,0))=0,"",INDEX('01_UngVien_PhongVan'!$L:$L,MATCH($B141,'01_UngVien_PhongVan'!$B:$B,0))),""))</f>
      </c>
      <c r="M141" s="60">
        <f t="array" ref="M141">IF($B141="","",IFERROR(IF(INDEX('01_UngVien_PhongVan'!$E:$E,MATCH($B141,'01_UngVien_PhongVan'!$B:$B,0))=0,"",INDEX('01_UngVien_PhongVan'!$E:$E,MATCH($B141,'01_UngVien_PhongVan'!$B:$B,0))),""))</f>
      </c>
      <c r="N141" s="60">
        <f t="array" ref="N141">IF($B141="","",IFERROR(IF(INDEX('01_UngVien_PhongVan'!$M:$M,MATCH($B141,'01_UngVien_PhongVan'!$B:$B,0))=0,"",INDEX('01_UngVien_PhongVan'!$M:$M,MATCH($B141,'01_UngVien_PhongVan'!$B:$B,0))),""))</f>
      </c>
      <c r="O141" s="60">
        <f t="array" ref="O141">IF($B141="","",IFERROR(IF(INDEX('01_UngVien_PhongVan'!$N:$N,MATCH($B141,'01_UngVien_PhongVan'!$B:$B,0))=0,"",INDEX('01_UngVien_PhongVan'!$N:$N,MATCH($B141,'01_UngVien_PhongVan'!$B:$B,0))),""))</f>
      </c>
      <c r="P141" s="60">
        <f t="array" ref="P141">IF($B141="","",IFERROR(IF(INDEX('01_UngVien_PhongVan'!$O:$O,MATCH($B141,'01_UngVien_PhongVan'!$B:$B,0))=0,"",INDEX('01_UngVien_PhongVan'!$O:$O,MATCH($B141,'01_UngVien_PhongVan'!$B:$B,0))),""))</f>
      </c>
      <c r="Q141" s="60">
        <f t="array" ref="Q141">IF($B141="","",IFERROR(IF(INDEX('01_UngVien_PhongVan'!$P:$P,MATCH($B141,'01_UngVien_PhongVan'!$B:$B,0))=0,"",INDEX('01_UngVien_PhongVan'!$P:$P,MATCH($B141,'01_UngVien_PhongVan'!$B:$B,0))),""))</f>
      </c>
      <c r="R141" s="60">
        <f t="array" ref="R141">IF($B141="","",IFERROR(IF(INDEX('01_UngVien_PhongVan'!$Q:$Q,MATCH($B141,'01_UngVien_PhongVan'!$B:$B,0))=0,"",INDEX('01_UngVien_PhongVan'!$Q:$Q,MATCH($B141,'01_UngVien_PhongVan'!$B:$B,0))),""))</f>
      </c>
      <c r="S141" s="60">
        <f t="array" ref="S141">IF($B141="","",IFERROR(IF(INDEX('01_UngVien_PhongVan'!$R:$R,MATCH($B141,'01_UngVien_PhongVan'!$B:$B,0))=0,"",INDEX('01_UngVien_PhongVan'!$R:$R,MATCH($B141,'01_UngVien_PhongVan'!$B:$B,0))),""))</f>
      </c>
      <c r="T141" s="60">
        <f t="array" ref="T141">IF($B141="","",IFERROR(IF(INDEX('01_UngVien_PhongVan'!$U:$U,MATCH($B141,'01_UngVien_PhongVan'!$B:$B,0))=0,"",INDEX('01_UngVien_PhongVan'!$U:$U,MATCH($B141,'01_UngVien_PhongVan'!$B:$B,0))),""))</f>
      </c>
      <c r="U141" s="73">
        <f t="array" ref="U141">IF($B141="","",IFERROR(IF(INDEX('01_UngVien_PhongVan'!$C:$C,MATCH($B141,'01_UngVien_PhongVan'!$B:$B,0))=0,"",INDEX('01_UngVien_PhongVan'!$C:$C,MATCH($B141,'01_UngVien_PhongVan'!$B:$B,0))),""))</f>
      </c>
      <c r="V141" s="73">
        <f t="array" ref="V141">IF($B141="","",IFERROR(IF(INDEX('02_DS_Nhan_Viec'!$D:$D,MATCH($B141,'02_DS_Nhan_Viec'!$B:$B,0))=0,"",INDEX('02_DS_Nhan_Viec'!$D:$D,MATCH($B141,'02_DS_Nhan_Viec'!$B:$B,0))),""))</f>
      </c>
      <c r="W141" s="73">
        <f t="array" ref="W141">IF($B141="","",IFERROR(IF(INDEX('02_DS_Nhan_Viec'!$E:$E,MATCH($B141,'02_DS_Nhan_Viec'!$B:$B,0))=0,"",INDEX('02_DS_Nhan_Viec'!$E:$E,MATCH($B141,'02_DS_Nhan_Viec'!$B:$B,0))),""))</f>
      </c>
      <c r="X141" s="73">
        <f t="array" ref="X141">IF($C141="","",IFERROR(IF(INDEX('05_Theo_Doi_Gio_Cong_7_Ngay'!$P:$P,MATCH($C141,'05_Theo_Doi_Gio_Cong_7_Ngay'!$B:$B,0))=0,"",INDEX('05_Theo_Doi_Gio_Cong_7_Ngay'!$P:$P,MATCH($C141,'05_Theo_Doi_Gio_Cong_7_Ngay'!$B:$B,0))),""))</f>
      </c>
      <c r="Y141" s="60">
        <f t="array" ref="Y141">IF($C141="","",IFERROR(IF(INDEX('05_Theo_Doi_Gio_Cong_7_Ngay'!$M:$M,MATCH($C141,'05_Theo_Doi_Gio_Cong_7_Ngay'!$B:$B,0))=0,"",INDEX('05_Theo_Doi_Gio_Cong_7_Ngay'!$M:$M,MATCH($C141,'05_Theo_Doi_Gio_Cong_7_Ngay'!$B:$B,0))),""))</f>
      </c>
      <c r="Z141" s="60">
        <f t="array" ref="Z141">IF($C141="","",IFERROR(IF(INDEX('05_Theo_Doi_Gio_Cong_7_Ngay'!$Q:$Q,MATCH($C141,'05_Theo_Doi_Gio_Cong_7_Ngay'!$B:$B,0))=0,"",INDEX('05_Theo_Doi_Gio_Cong_7_Ngay'!$Q:$Q,MATCH($C141,'05_Theo_Doi_Gio_Cong_7_Ngay'!$B:$B,0))),""))</f>
      </c>
      <c r="AA141" s="60">
        <f t="array" ref="AA141">IF($B141="","",IFERROR(IF(INDEX('02_DS_Nhan_Viec'!$H:$H,MATCH($B141,'02_DS_Nhan_Viec'!$B:$B,0))=0,"",INDEX('02_DS_Nhan_Viec'!$H:$H,MATCH($B141,'02_DS_Nhan_Viec'!$B:$B,0))),""))</f>
      </c>
      <c r="AB141" s="60">
        <f t="array" ref="AB141">IF($B141="","",IFERROR(IF(INDEX('02_DS_Nhan_Viec'!$I:$I,MATCH($B141,'02_DS_Nhan_Viec'!$B:$B,0))=0,"",INDEX('02_DS_Nhan_Viec'!$I:$I,MATCH($B141,'02_DS_Nhan_Viec'!$B:$B,0))),""))</f>
      </c>
      <c r="AC141" s="61">
        <f t="array" ref="AC141">IF($B141="","",IF($C141="","Đang theo dõi",IF(OR(IFERROR(INDEX('05_Theo_Doi_Gio_Cong_7_Ngay'!$R:$R,MATCH($C141,'05_Theo_Doi_Gio_Cong_7_Ngay'!$B:$B,0)),"")="",IFERROR(INDEX('05_Theo_Doi_Gio_Cong_7_Ngay'!$R:$R,MATCH($C141,'05_Theo_Doi_Gio_Cong_7_Ngay'!$B:$B,0)),0)=0),"Đang theo dõi",IFERROR(INDEX('06_DS_Chinh_Thuc'!$K:$K,MATCH(IFERROR(INDEX('05_Theo_Doi_Gio_Cong_7_Ngay'!$R:$R,MATCH($C141,'05_Theo_Doi_Gio_Cong_7_Ngay'!$B:$B,0)),0),'06_DS_Chinh_Thuc'!$B:$B,0)),"Đang theo dõi"))))</f>
      </c>
    </row>
    <row r="142" ht="14.25" customHeight="1" spans="1:29" x14ac:dyDescent="0.25">
      <c r="A142" s="52">
        <f t="shared" si="0"/>
      </c>
      <c r="B142" s="52">
        <f t="array" ref="B142">IFERROR(INDEX('02_DS_Nhan_Viec'!$B:$B,MATCH(141,'02_DS_Nhan_Viec'!$M:$M,0)),"")</f>
      </c>
      <c r="C142" s="52">
        <f t="array" ref="C142">IF($B142="","",IFERROR(IF(INDEX('02_DS_Nhan_Viec'!$J:$J,MATCH($B142,'02_DS_Nhan_Viec'!$B:$B,0))=0,"",INDEX('02_DS_Nhan_Viec'!$J:$J,MATCH($B142,'02_DS_Nhan_Viec'!$B:$B,0))),""))</f>
      </c>
      <c r="D142" s="52">
        <f t="array" ref="D142">IF($C142="","",IFERROR(IF(INDEX('05_Theo_Doi_Gio_Cong_7_Ngay'!$R:$R,MATCH($C142,'05_Theo_Doi_Gio_Cong_7_Ngay'!$B:$B,0))=0,"",INDEX('05_Theo_Doi_Gio_Cong_7_Ngay'!$R:$R,MATCH($C142,'05_Theo_Doi_Gio_Cong_7_Ngay'!$B:$B,0))),""))</f>
      </c>
      <c r="E142" s="60">
        <f t="array" ref="E142">IF($B142="","",IFERROR(IF(INDEX('01_UngVien_PhongVan'!$D:$D,MATCH($B142,'01_UngVien_PhongVan'!$B:$B,0))=0,"",INDEX('01_UngVien_PhongVan'!$D:$D,MATCH($B142,'01_UngVien_PhongVan'!$B:$B,0))),""))</f>
      </c>
      <c r="F142" s="52">
        <f t="array" ref="F142">IF($B142="","",IFERROR(IF(INDEX('01_UngVien_PhongVan'!$F:$F,MATCH($B142,'01_UngVien_PhongVan'!$B:$B,0))=0,"",INDEX('01_UngVien_PhongVan'!$F:$F,MATCH($B142,'01_UngVien_PhongVan'!$B:$B,0))),""))</f>
      </c>
      <c r="G142" s="72">
        <f t="array" ref="G142">IF($B142="","",IFERROR(IF(INDEX('01_UngVien_PhongVan'!$G:$G,MATCH($B142,'01_UngVien_PhongVan'!$B:$B,0))=0,"",INDEX('01_UngVien_PhongVan'!$G:$G,MATCH($B142,'01_UngVien_PhongVan'!$B:$B,0))),""))</f>
      </c>
      <c r="H142" s="52">
        <f t="array" ref="H142">IF($B142="","",IFERROR(IF(INDEX('01_UngVien_PhongVan'!$H:$H,MATCH($B142,'01_UngVien_PhongVan'!$B:$B,0))=0,"",INDEX('01_UngVien_PhongVan'!$H:$H,MATCH($B142,'01_UngVien_PhongVan'!$B:$B,0))),""))</f>
      </c>
      <c r="I142" s="60">
        <f t="array" ref="I142">IF($B142="","",IFERROR(IF(INDEX('01_UngVien_PhongVan'!$I:$I,MATCH($B142,'01_UngVien_PhongVan'!$B:$B,0))=0,"",INDEX('01_UngVien_PhongVan'!$I:$I,MATCH($B142,'01_UngVien_PhongVan'!$B:$B,0))),""))</f>
      </c>
      <c r="J142" s="60">
        <f t="array" ref="J142">IF($B142="","",IFERROR(IF(INDEX('01_UngVien_PhongVan'!$J:$J,MATCH($B142,'01_UngVien_PhongVan'!$B:$B,0))=0,"",INDEX('01_UngVien_PhongVan'!$J:$J,MATCH($B142,'01_UngVien_PhongVan'!$B:$B,0))),""))</f>
      </c>
      <c r="K142" s="73">
        <f t="array" ref="K142">IF($B142="","",IFERROR(IF(INDEX('01_UngVien_PhongVan'!$K:$K,MATCH($B142,'01_UngVien_PhongVan'!$B:$B,0))=0,"",INDEX('01_UngVien_PhongVan'!$K:$K,MATCH($B142,'01_UngVien_PhongVan'!$B:$B,0))),""))</f>
      </c>
      <c r="L142" s="60">
        <f t="array" ref="L142">IF($B142="","",IFERROR(IF(INDEX('01_UngVien_PhongVan'!$L:$L,MATCH($B142,'01_UngVien_PhongVan'!$B:$B,0))=0,"",INDEX('01_UngVien_PhongVan'!$L:$L,MATCH($B142,'01_UngVien_PhongVan'!$B:$B,0))),""))</f>
      </c>
      <c r="M142" s="60">
        <f t="array" ref="M142">IF($B142="","",IFERROR(IF(INDEX('01_UngVien_PhongVan'!$E:$E,MATCH($B142,'01_UngVien_PhongVan'!$B:$B,0))=0,"",INDEX('01_UngVien_PhongVan'!$E:$E,MATCH($B142,'01_UngVien_PhongVan'!$B:$B,0))),""))</f>
      </c>
      <c r="N142" s="60">
        <f t="array" ref="N142">IF($B142="","",IFERROR(IF(INDEX('01_UngVien_PhongVan'!$M:$M,MATCH($B142,'01_UngVien_PhongVan'!$B:$B,0))=0,"",INDEX('01_UngVien_PhongVan'!$M:$M,MATCH($B142,'01_UngVien_PhongVan'!$B:$B,0))),""))</f>
      </c>
      <c r="O142" s="60">
        <f t="array" ref="O142">IF($B142="","",IFERROR(IF(INDEX('01_UngVien_PhongVan'!$N:$N,MATCH($B142,'01_UngVien_PhongVan'!$B:$B,0))=0,"",INDEX('01_UngVien_PhongVan'!$N:$N,MATCH($B142,'01_UngVien_PhongVan'!$B:$B,0))),""))</f>
      </c>
      <c r="P142" s="60">
        <f t="array" ref="P142">IF($B142="","",IFERROR(IF(INDEX('01_UngVien_PhongVan'!$O:$O,MATCH($B142,'01_UngVien_PhongVan'!$B:$B,0))=0,"",INDEX('01_UngVien_PhongVan'!$O:$O,MATCH($B142,'01_UngVien_PhongVan'!$B:$B,0))),""))</f>
      </c>
      <c r="Q142" s="60">
        <f t="array" ref="Q142">IF($B142="","",IFERROR(IF(INDEX('01_UngVien_PhongVan'!$P:$P,MATCH($B142,'01_UngVien_PhongVan'!$B:$B,0))=0,"",INDEX('01_UngVien_PhongVan'!$P:$P,MATCH($B142,'01_UngVien_PhongVan'!$B:$B,0))),""))</f>
      </c>
      <c r="R142" s="60">
        <f t="array" ref="R142">IF($B142="","",IFERROR(IF(INDEX('01_UngVien_PhongVan'!$Q:$Q,MATCH($B142,'01_UngVien_PhongVan'!$B:$B,0))=0,"",INDEX('01_UngVien_PhongVan'!$Q:$Q,MATCH($B142,'01_UngVien_PhongVan'!$B:$B,0))),""))</f>
      </c>
      <c r="S142" s="60">
        <f t="array" ref="S142">IF($B142="","",IFERROR(IF(INDEX('01_UngVien_PhongVan'!$R:$R,MATCH($B142,'01_UngVien_PhongVan'!$B:$B,0))=0,"",INDEX('01_UngVien_PhongVan'!$R:$R,MATCH($B142,'01_UngVien_PhongVan'!$B:$B,0))),""))</f>
      </c>
      <c r="T142" s="60">
        <f t="array" ref="T142">IF($B142="","",IFERROR(IF(INDEX('01_UngVien_PhongVan'!$U:$U,MATCH($B142,'01_UngVien_PhongVan'!$B:$B,0))=0,"",INDEX('01_UngVien_PhongVan'!$U:$U,MATCH($B142,'01_UngVien_PhongVan'!$B:$B,0))),""))</f>
      </c>
      <c r="U142" s="73">
        <f t="array" ref="U142">IF($B142="","",IFERROR(IF(INDEX('01_UngVien_PhongVan'!$C:$C,MATCH($B142,'01_UngVien_PhongVan'!$B:$B,0))=0,"",INDEX('01_UngVien_PhongVan'!$C:$C,MATCH($B142,'01_UngVien_PhongVan'!$B:$B,0))),""))</f>
      </c>
      <c r="V142" s="73">
        <f t="array" ref="V142">IF($B142="","",IFERROR(IF(INDEX('02_DS_Nhan_Viec'!$D:$D,MATCH($B142,'02_DS_Nhan_Viec'!$B:$B,0))=0,"",INDEX('02_DS_Nhan_Viec'!$D:$D,MATCH($B142,'02_DS_Nhan_Viec'!$B:$B,0))),""))</f>
      </c>
      <c r="W142" s="73">
        <f t="array" ref="W142">IF($B142="","",IFERROR(IF(INDEX('02_DS_Nhan_Viec'!$E:$E,MATCH($B142,'02_DS_Nhan_Viec'!$B:$B,0))=0,"",INDEX('02_DS_Nhan_Viec'!$E:$E,MATCH($B142,'02_DS_Nhan_Viec'!$B:$B,0))),""))</f>
      </c>
      <c r="X142" s="73">
        <f t="array" ref="X142">IF($C142="","",IFERROR(IF(INDEX('05_Theo_Doi_Gio_Cong_7_Ngay'!$P:$P,MATCH($C142,'05_Theo_Doi_Gio_Cong_7_Ngay'!$B:$B,0))=0,"",INDEX('05_Theo_Doi_Gio_Cong_7_Ngay'!$P:$P,MATCH($C142,'05_Theo_Doi_Gio_Cong_7_Ngay'!$B:$B,0))),""))</f>
      </c>
      <c r="Y142" s="60">
        <f t="array" ref="Y142">IF($C142="","",IFERROR(IF(INDEX('05_Theo_Doi_Gio_Cong_7_Ngay'!$M:$M,MATCH($C142,'05_Theo_Doi_Gio_Cong_7_Ngay'!$B:$B,0))=0,"",INDEX('05_Theo_Doi_Gio_Cong_7_Ngay'!$M:$M,MATCH($C142,'05_Theo_Doi_Gio_Cong_7_Ngay'!$B:$B,0))),""))</f>
      </c>
      <c r="Z142" s="60">
        <f t="array" ref="Z142">IF($C142="","",IFERROR(IF(INDEX('05_Theo_Doi_Gio_Cong_7_Ngay'!$Q:$Q,MATCH($C142,'05_Theo_Doi_Gio_Cong_7_Ngay'!$B:$B,0))=0,"",INDEX('05_Theo_Doi_Gio_Cong_7_Ngay'!$Q:$Q,MATCH($C142,'05_Theo_Doi_Gio_Cong_7_Ngay'!$B:$B,0))),""))</f>
      </c>
      <c r="AA142" s="60">
        <f t="array" ref="AA142">IF($B142="","",IFERROR(IF(INDEX('02_DS_Nhan_Viec'!$H:$H,MATCH($B142,'02_DS_Nhan_Viec'!$B:$B,0))=0,"",INDEX('02_DS_Nhan_Viec'!$H:$H,MATCH($B142,'02_DS_Nhan_Viec'!$B:$B,0))),""))</f>
      </c>
      <c r="AB142" s="60">
        <f t="array" ref="AB142">IF($B142="","",IFERROR(IF(INDEX('02_DS_Nhan_Viec'!$I:$I,MATCH($B142,'02_DS_Nhan_Viec'!$B:$B,0))=0,"",INDEX('02_DS_Nhan_Viec'!$I:$I,MATCH($B142,'02_DS_Nhan_Viec'!$B:$B,0))),""))</f>
      </c>
      <c r="AC142" s="61">
        <f t="array" ref="AC142">IF($B142="","",IF($C142="","Đang theo dõi",IF(OR(IFERROR(INDEX('05_Theo_Doi_Gio_Cong_7_Ngay'!$R:$R,MATCH($C142,'05_Theo_Doi_Gio_Cong_7_Ngay'!$B:$B,0)),"")="",IFERROR(INDEX('05_Theo_Doi_Gio_Cong_7_Ngay'!$R:$R,MATCH($C142,'05_Theo_Doi_Gio_Cong_7_Ngay'!$B:$B,0)),0)=0),"Đang theo dõi",IFERROR(INDEX('06_DS_Chinh_Thuc'!$K:$K,MATCH(IFERROR(INDEX('05_Theo_Doi_Gio_Cong_7_Ngay'!$R:$R,MATCH($C142,'05_Theo_Doi_Gio_Cong_7_Ngay'!$B:$B,0)),0),'06_DS_Chinh_Thuc'!$B:$B,0)),"Đang theo dõi"))))</f>
      </c>
    </row>
    <row r="143" ht="14.25" customHeight="1" spans="1:29" x14ac:dyDescent="0.25">
      <c r="A143" s="52">
        <f t="shared" si="0"/>
      </c>
      <c r="B143" s="52">
        <f t="array" ref="B143">IFERROR(INDEX('02_DS_Nhan_Viec'!$B:$B,MATCH(142,'02_DS_Nhan_Viec'!$M:$M,0)),"")</f>
      </c>
      <c r="C143" s="52">
        <f t="array" ref="C143">IF($B143="","",IFERROR(IF(INDEX('02_DS_Nhan_Viec'!$J:$J,MATCH($B143,'02_DS_Nhan_Viec'!$B:$B,0))=0,"",INDEX('02_DS_Nhan_Viec'!$J:$J,MATCH($B143,'02_DS_Nhan_Viec'!$B:$B,0))),""))</f>
      </c>
      <c r="D143" s="52">
        <f t="array" ref="D143">IF($C143="","",IFERROR(IF(INDEX('05_Theo_Doi_Gio_Cong_7_Ngay'!$R:$R,MATCH($C143,'05_Theo_Doi_Gio_Cong_7_Ngay'!$B:$B,0))=0,"",INDEX('05_Theo_Doi_Gio_Cong_7_Ngay'!$R:$R,MATCH($C143,'05_Theo_Doi_Gio_Cong_7_Ngay'!$B:$B,0))),""))</f>
      </c>
      <c r="E143" s="60">
        <f t="array" ref="E143">IF($B143="","",IFERROR(IF(INDEX('01_UngVien_PhongVan'!$D:$D,MATCH($B143,'01_UngVien_PhongVan'!$B:$B,0))=0,"",INDEX('01_UngVien_PhongVan'!$D:$D,MATCH($B143,'01_UngVien_PhongVan'!$B:$B,0))),""))</f>
      </c>
      <c r="F143" s="52">
        <f t="array" ref="F143">IF($B143="","",IFERROR(IF(INDEX('01_UngVien_PhongVan'!$F:$F,MATCH($B143,'01_UngVien_PhongVan'!$B:$B,0))=0,"",INDEX('01_UngVien_PhongVan'!$F:$F,MATCH($B143,'01_UngVien_PhongVan'!$B:$B,0))),""))</f>
      </c>
      <c r="G143" s="72">
        <f t="array" ref="G143">IF($B143="","",IFERROR(IF(INDEX('01_UngVien_PhongVan'!$G:$G,MATCH($B143,'01_UngVien_PhongVan'!$B:$B,0))=0,"",INDEX('01_UngVien_PhongVan'!$G:$G,MATCH($B143,'01_UngVien_PhongVan'!$B:$B,0))),""))</f>
      </c>
      <c r="H143" s="52">
        <f t="array" ref="H143">IF($B143="","",IFERROR(IF(INDEX('01_UngVien_PhongVan'!$H:$H,MATCH($B143,'01_UngVien_PhongVan'!$B:$B,0))=0,"",INDEX('01_UngVien_PhongVan'!$H:$H,MATCH($B143,'01_UngVien_PhongVan'!$B:$B,0))),""))</f>
      </c>
      <c r="I143" s="60">
        <f t="array" ref="I143">IF($B143="","",IFERROR(IF(INDEX('01_UngVien_PhongVan'!$I:$I,MATCH($B143,'01_UngVien_PhongVan'!$B:$B,0))=0,"",INDEX('01_UngVien_PhongVan'!$I:$I,MATCH($B143,'01_UngVien_PhongVan'!$B:$B,0))),""))</f>
      </c>
      <c r="J143" s="60">
        <f t="array" ref="J143">IF($B143="","",IFERROR(IF(INDEX('01_UngVien_PhongVan'!$J:$J,MATCH($B143,'01_UngVien_PhongVan'!$B:$B,0))=0,"",INDEX('01_UngVien_PhongVan'!$J:$J,MATCH($B143,'01_UngVien_PhongVan'!$B:$B,0))),""))</f>
      </c>
      <c r="K143" s="73">
        <f t="array" ref="K143">IF($B143="","",IFERROR(IF(INDEX('01_UngVien_PhongVan'!$K:$K,MATCH($B143,'01_UngVien_PhongVan'!$B:$B,0))=0,"",INDEX('01_UngVien_PhongVan'!$K:$K,MATCH($B143,'01_UngVien_PhongVan'!$B:$B,0))),""))</f>
      </c>
      <c r="L143" s="60">
        <f t="array" ref="L143">IF($B143="","",IFERROR(IF(INDEX('01_UngVien_PhongVan'!$L:$L,MATCH($B143,'01_UngVien_PhongVan'!$B:$B,0))=0,"",INDEX('01_UngVien_PhongVan'!$L:$L,MATCH($B143,'01_UngVien_PhongVan'!$B:$B,0))),""))</f>
      </c>
      <c r="M143" s="60">
        <f t="array" ref="M143">IF($B143="","",IFERROR(IF(INDEX('01_UngVien_PhongVan'!$E:$E,MATCH($B143,'01_UngVien_PhongVan'!$B:$B,0))=0,"",INDEX('01_UngVien_PhongVan'!$E:$E,MATCH($B143,'01_UngVien_PhongVan'!$B:$B,0))),""))</f>
      </c>
      <c r="N143" s="60">
        <f t="array" ref="N143">IF($B143="","",IFERROR(IF(INDEX('01_UngVien_PhongVan'!$M:$M,MATCH($B143,'01_UngVien_PhongVan'!$B:$B,0))=0,"",INDEX('01_UngVien_PhongVan'!$M:$M,MATCH($B143,'01_UngVien_PhongVan'!$B:$B,0))),""))</f>
      </c>
      <c r="O143" s="60">
        <f t="array" ref="O143">IF($B143="","",IFERROR(IF(INDEX('01_UngVien_PhongVan'!$N:$N,MATCH($B143,'01_UngVien_PhongVan'!$B:$B,0))=0,"",INDEX('01_UngVien_PhongVan'!$N:$N,MATCH($B143,'01_UngVien_PhongVan'!$B:$B,0))),""))</f>
      </c>
      <c r="P143" s="60">
        <f t="array" ref="P143">IF($B143="","",IFERROR(IF(INDEX('01_UngVien_PhongVan'!$O:$O,MATCH($B143,'01_UngVien_PhongVan'!$B:$B,0))=0,"",INDEX('01_UngVien_PhongVan'!$O:$O,MATCH($B143,'01_UngVien_PhongVan'!$B:$B,0))),""))</f>
      </c>
      <c r="Q143" s="60">
        <f t="array" ref="Q143">IF($B143="","",IFERROR(IF(INDEX('01_UngVien_PhongVan'!$P:$P,MATCH($B143,'01_UngVien_PhongVan'!$B:$B,0))=0,"",INDEX('01_UngVien_PhongVan'!$P:$P,MATCH($B143,'01_UngVien_PhongVan'!$B:$B,0))),""))</f>
      </c>
      <c r="R143" s="60">
        <f t="array" ref="R143">IF($B143="","",IFERROR(IF(INDEX('01_UngVien_PhongVan'!$Q:$Q,MATCH($B143,'01_UngVien_PhongVan'!$B:$B,0))=0,"",INDEX('01_UngVien_PhongVan'!$Q:$Q,MATCH($B143,'01_UngVien_PhongVan'!$B:$B,0))),""))</f>
      </c>
      <c r="S143" s="60">
        <f t="array" ref="S143">IF($B143="","",IFERROR(IF(INDEX('01_UngVien_PhongVan'!$R:$R,MATCH($B143,'01_UngVien_PhongVan'!$B:$B,0))=0,"",INDEX('01_UngVien_PhongVan'!$R:$R,MATCH($B143,'01_UngVien_PhongVan'!$B:$B,0))),""))</f>
      </c>
      <c r="T143" s="60">
        <f t="array" ref="T143">IF($B143="","",IFERROR(IF(INDEX('01_UngVien_PhongVan'!$U:$U,MATCH($B143,'01_UngVien_PhongVan'!$B:$B,0))=0,"",INDEX('01_UngVien_PhongVan'!$U:$U,MATCH($B143,'01_UngVien_PhongVan'!$B:$B,0))),""))</f>
      </c>
      <c r="U143" s="73">
        <f t="array" ref="U143">IF($B143="","",IFERROR(IF(INDEX('01_UngVien_PhongVan'!$C:$C,MATCH($B143,'01_UngVien_PhongVan'!$B:$B,0))=0,"",INDEX('01_UngVien_PhongVan'!$C:$C,MATCH($B143,'01_UngVien_PhongVan'!$B:$B,0))),""))</f>
      </c>
      <c r="V143" s="73">
        <f t="array" ref="V143">IF($B143="","",IFERROR(IF(INDEX('02_DS_Nhan_Viec'!$D:$D,MATCH($B143,'02_DS_Nhan_Viec'!$B:$B,0))=0,"",INDEX('02_DS_Nhan_Viec'!$D:$D,MATCH($B143,'02_DS_Nhan_Viec'!$B:$B,0))),""))</f>
      </c>
      <c r="W143" s="73">
        <f t="array" ref="W143">IF($B143="","",IFERROR(IF(INDEX('02_DS_Nhan_Viec'!$E:$E,MATCH($B143,'02_DS_Nhan_Viec'!$B:$B,0))=0,"",INDEX('02_DS_Nhan_Viec'!$E:$E,MATCH($B143,'02_DS_Nhan_Viec'!$B:$B,0))),""))</f>
      </c>
      <c r="X143" s="73">
        <f t="array" ref="X143">IF($C143="","",IFERROR(IF(INDEX('05_Theo_Doi_Gio_Cong_7_Ngay'!$P:$P,MATCH($C143,'05_Theo_Doi_Gio_Cong_7_Ngay'!$B:$B,0))=0,"",INDEX('05_Theo_Doi_Gio_Cong_7_Ngay'!$P:$P,MATCH($C143,'05_Theo_Doi_Gio_Cong_7_Ngay'!$B:$B,0))),""))</f>
      </c>
      <c r="Y143" s="60">
        <f t="array" ref="Y143">IF($C143="","",IFERROR(IF(INDEX('05_Theo_Doi_Gio_Cong_7_Ngay'!$M:$M,MATCH($C143,'05_Theo_Doi_Gio_Cong_7_Ngay'!$B:$B,0))=0,"",INDEX('05_Theo_Doi_Gio_Cong_7_Ngay'!$M:$M,MATCH($C143,'05_Theo_Doi_Gio_Cong_7_Ngay'!$B:$B,0))),""))</f>
      </c>
      <c r="Z143" s="60">
        <f t="array" ref="Z143">IF($C143="","",IFERROR(IF(INDEX('05_Theo_Doi_Gio_Cong_7_Ngay'!$Q:$Q,MATCH($C143,'05_Theo_Doi_Gio_Cong_7_Ngay'!$B:$B,0))=0,"",INDEX('05_Theo_Doi_Gio_Cong_7_Ngay'!$Q:$Q,MATCH($C143,'05_Theo_Doi_Gio_Cong_7_Ngay'!$B:$B,0))),""))</f>
      </c>
      <c r="AA143" s="60">
        <f t="array" ref="AA143">IF($B143="","",IFERROR(IF(INDEX('02_DS_Nhan_Viec'!$H:$H,MATCH($B143,'02_DS_Nhan_Viec'!$B:$B,0))=0,"",INDEX('02_DS_Nhan_Viec'!$H:$H,MATCH($B143,'02_DS_Nhan_Viec'!$B:$B,0))),""))</f>
      </c>
      <c r="AB143" s="60">
        <f t="array" ref="AB143">IF($B143="","",IFERROR(IF(INDEX('02_DS_Nhan_Viec'!$I:$I,MATCH($B143,'02_DS_Nhan_Viec'!$B:$B,0))=0,"",INDEX('02_DS_Nhan_Viec'!$I:$I,MATCH($B143,'02_DS_Nhan_Viec'!$B:$B,0))),""))</f>
      </c>
      <c r="AC143" s="61">
        <f t="array" ref="AC143">IF($B143="","",IF($C143="","Đang theo dõi",IF(OR(IFERROR(INDEX('05_Theo_Doi_Gio_Cong_7_Ngay'!$R:$R,MATCH($C143,'05_Theo_Doi_Gio_Cong_7_Ngay'!$B:$B,0)),"")="",IFERROR(INDEX('05_Theo_Doi_Gio_Cong_7_Ngay'!$R:$R,MATCH($C143,'05_Theo_Doi_Gio_Cong_7_Ngay'!$B:$B,0)),0)=0),"Đang theo dõi",IFERROR(INDEX('06_DS_Chinh_Thuc'!$K:$K,MATCH(IFERROR(INDEX('05_Theo_Doi_Gio_Cong_7_Ngay'!$R:$R,MATCH($C143,'05_Theo_Doi_Gio_Cong_7_Ngay'!$B:$B,0)),0),'06_DS_Chinh_Thuc'!$B:$B,0)),"Đang theo dõi"))))</f>
      </c>
    </row>
    <row r="144" ht="14.25" customHeight="1" spans="1:29" x14ac:dyDescent="0.25">
      <c r="A144" s="52">
        <f t="shared" si="0"/>
      </c>
      <c r="B144" s="52">
        <f t="array" ref="B144">IFERROR(INDEX('02_DS_Nhan_Viec'!$B:$B,MATCH(143,'02_DS_Nhan_Viec'!$M:$M,0)),"")</f>
      </c>
      <c r="C144" s="52">
        <f t="array" ref="C144">IF($B144="","",IFERROR(IF(INDEX('02_DS_Nhan_Viec'!$J:$J,MATCH($B144,'02_DS_Nhan_Viec'!$B:$B,0))=0,"",INDEX('02_DS_Nhan_Viec'!$J:$J,MATCH($B144,'02_DS_Nhan_Viec'!$B:$B,0))),""))</f>
      </c>
      <c r="D144" s="52">
        <f t="array" ref="D144">IF($C144="","",IFERROR(IF(INDEX('05_Theo_Doi_Gio_Cong_7_Ngay'!$R:$R,MATCH($C144,'05_Theo_Doi_Gio_Cong_7_Ngay'!$B:$B,0))=0,"",INDEX('05_Theo_Doi_Gio_Cong_7_Ngay'!$R:$R,MATCH($C144,'05_Theo_Doi_Gio_Cong_7_Ngay'!$B:$B,0))),""))</f>
      </c>
      <c r="E144" s="60">
        <f t="array" ref="E144">IF($B144="","",IFERROR(IF(INDEX('01_UngVien_PhongVan'!$D:$D,MATCH($B144,'01_UngVien_PhongVan'!$B:$B,0))=0,"",INDEX('01_UngVien_PhongVan'!$D:$D,MATCH($B144,'01_UngVien_PhongVan'!$B:$B,0))),""))</f>
      </c>
      <c r="F144" s="52">
        <f t="array" ref="F144">IF($B144="","",IFERROR(IF(INDEX('01_UngVien_PhongVan'!$F:$F,MATCH($B144,'01_UngVien_PhongVan'!$B:$B,0))=0,"",INDEX('01_UngVien_PhongVan'!$F:$F,MATCH($B144,'01_UngVien_PhongVan'!$B:$B,0))),""))</f>
      </c>
      <c r="G144" s="72">
        <f t="array" ref="G144">IF($B144="","",IFERROR(IF(INDEX('01_UngVien_PhongVan'!$G:$G,MATCH($B144,'01_UngVien_PhongVan'!$B:$B,0))=0,"",INDEX('01_UngVien_PhongVan'!$G:$G,MATCH($B144,'01_UngVien_PhongVan'!$B:$B,0))),""))</f>
      </c>
      <c r="H144" s="52">
        <f t="array" ref="H144">IF($B144="","",IFERROR(IF(INDEX('01_UngVien_PhongVan'!$H:$H,MATCH($B144,'01_UngVien_PhongVan'!$B:$B,0))=0,"",INDEX('01_UngVien_PhongVan'!$H:$H,MATCH($B144,'01_UngVien_PhongVan'!$B:$B,0))),""))</f>
      </c>
      <c r="I144" s="60">
        <f t="array" ref="I144">IF($B144="","",IFERROR(IF(INDEX('01_UngVien_PhongVan'!$I:$I,MATCH($B144,'01_UngVien_PhongVan'!$B:$B,0))=0,"",INDEX('01_UngVien_PhongVan'!$I:$I,MATCH($B144,'01_UngVien_PhongVan'!$B:$B,0))),""))</f>
      </c>
      <c r="J144" s="60">
        <f t="array" ref="J144">IF($B144="","",IFERROR(IF(INDEX('01_UngVien_PhongVan'!$J:$J,MATCH($B144,'01_UngVien_PhongVan'!$B:$B,0))=0,"",INDEX('01_UngVien_PhongVan'!$J:$J,MATCH($B144,'01_UngVien_PhongVan'!$B:$B,0))),""))</f>
      </c>
      <c r="K144" s="73">
        <f t="array" ref="K144">IF($B144="","",IFERROR(IF(INDEX('01_UngVien_PhongVan'!$K:$K,MATCH($B144,'01_UngVien_PhongVan'!$B:$B,0))=0,"",INDEX('01_UngVien_PhongVan'!$K:$K,MATCH($B144,'01_UngVien_PhongVan'!$B:$B,0))),""))</f>
      </c>
      <c r="L144" s="60">
        <f t="array" ref="L144">IF($B144="","",IFERROR(IF(INDEX('01_UngVien_PhongVan'!$L:$L,MATCH($B144,'01_UngVien_PhongVan'!$B:$B,0))=0,"",INDEX('01_UngVien_PhongVan'!$L:$L,MATCH($B144,'01_UngVien_PhongVan'!$B:$B,0))),""))</f>
      </c>
      <c r="M144" s="60">
        <f t="array" ref="M144">IF($B144="","",IFERROR(IF(INDEX('01_UngVien_PhongVan'!$E:$E,MATCH($B144,'01_UngVien_PhongVan'!$B:$B,0))=0,"",INDEX('01_UngVien_PhongVan'!$E:$E,MATCH($B144,'01_UngVien_PhongVan'!$B:$B,0))),""))</f>
      </c>
      <c r="N144" s="60">
        <f t="array" ref="N144">IF($B144="","",IFERROR(IF(INDEX('01_UngVien_PhongVan'!$M:$M,MATCH($B144,'01_UngVien_PhongVan'!$B:$B,0))=0,"",INDEX('01_UngVien_PhongVan'!$M:$M,MATCH($B144,'01_UngVien_PhongVan'!$B:$B,0))),""))</f>
      </c>
      <c r="O144" s="60">
        <f t="array" ref="O144">IF($B144="","",IFERROR(IF(INDEX('01_UngVien_PhongVan'!$N:$N,MATCH($B144,'01_UngVien_PhongVan'!$B:$B,0))=0,"",INDEX('01_UngVien_PhongVan'!$N:$N,MATCH($B144,'01_UngVien_PhongVan'!$B:$B,0))),""))</f>
      </c>
      <c r="P144" s="60">
        <f t="array" ref="P144">IF($B144="","",IFERROR(IF(INDEX('01_UngVien_PhongVan'!$O:$O,MATCH($B144,'01_UngVien_PhongVan'!$B:$B,0))=0,"",INDEX('01_UngVien_PhongVan'!$O:$O,MATCH($B144,'01_UngVien_PhongVan'!$B:$B,0))),""))</f>
      </c>
      <c r="Q144" s="60">
        <f t="array" ref="Q144">IF($B144="","",IFERROR(IF(INDEX('01_UngVien_PhongVan'!$P:$P,MATCH($B144,'01_UngVien_PhongVan'!$B:$B,0))=0,"",INDEX('01_UngVien_PhongVan'!$P:$P,MATCH($B144,'01_UngVien_PhongVan'!$B:$B,0))),""))</f>
      </c>
      <c r="R144" s="60">
        <f t="array" ref="R144">IF($B144="","",IFERROR(IF(INDEX('01_UngVien_PhongVan'!$Q:$Q,MATCH($B144,'01_UngVien_PhongVan'!$B:$B,0))=0,"",INDEX('01_UngVien_PhongVan'!$Q:$Q,MATCH($B144,'01_UngVien_PhongVan'!$B:$B,0))),""))</f>
      </c>
      <c r="S144" s="60">
        <f t="array" ref="S144">IF($B144="","",IFERROR(IF(INDEX('01_UngVien_PhongVan'!$R:$R,MATCH($B144,'01_UngVien_PhongVan'!$B:$B,0))=0,"",INDEX('01_UngVien_PhongVan'!$R:$R,MATCH($B144,'01_UngVien_PhongVan'!$B:$B,0))),""))</f>
      </c>
      <c r="T144" s="60">
        <f t="array" ref="T144">IF($B144="","",IFERROR(IF(INDEX('01_UngVien_PhongVan'!$U:$U,MATCH($B144,'01_UngVien_PhongVan'!$B:$B,0))=0,"",INDEX('01_UngVien_PhongVan'!$U:$U,MATCH($B144,'01_UngVien_PhongVan'!$B:$B,0))),""))</f>
      </c>
      <c r="U144" s="73">
        <f t="array" ref="U144">IF($B144="","",IFERROR(IF(INDEX('01_UngVien_PhongVan'!$C:$C,MATCH($B144,'01_UngVien_PhongVan'!$B:$B,0))=0,"",INDEX('01_UngVien_PhongVan'!$C:$C,MATCH($B144,'01_UngVien_PhongVan'!$B:$B,0))),""))</f>
      </c>
      <c r="V144" s="73">
        <f t="array" ref="V144">IF($B144="","",IFERROR(IF(INDEX('02_DS_Nhan_Viec'!$D:$D,MATCH($B144,'02_DS_Nhan_Viec'!$B:$B,0))=0,"",INDEX('02_DS_Nhan_Viec'!$D:$D,MATCH($B144,'02_DS_Nhan_Viec'!$B:$B,0))),""))</f>
      </c>
      <c r="W144" s="73">
        <f t="array" ref="W144">IF($B144="","",IFERROR(IF(INDEX('02_DS_Nhan_Viec'!$E:$E,MATCH($B144,'02_DS_Nhan_Viec'!$B:$B,0))=0,"",INDEX('02_DS_Nhan_Viec'!$E:$E,MATCH($B144,'02_DS_Nhan_Viec'!$B:$B,0))),""))</f>
      </c>
      <c r="X144" s="73">
        <f t="array" ref="X144">IF($C144="","",IFERROR(IF(INDEX('05_Theo_Doi_Gio_Cong_7_Ngay'!$P:$P,MATCH($C144,'05_Theo_Doi_Gio_Cong_7_Ngay'!$B:$B,0))=0,"",INDEX('05_Theo_Doi_Gio_Cong_7_Ngay'!$P:$P,MATCH($C144,'05_Theo_Doi_Gio_Cong_7_Ngay'!$B:$B,0))),""))</f>
      </c>
      <c r="Y144" s="60">
        <f t="array" ref="Y144">IF($C144="","",IFERROR(IF(INDEX('05_Theo_Doi_Gio_Cong_7_Ngay'!$M:$M,MATCH($C144,'05_Theo_Doi_Gio_Cong_7_Ngay'!$B:$B,0))=0,"",INDEX('05_Theo_Doi_Gio_Cong_7_Ngay'!$M:$M,MATCH($C144,'05_Theo_Doi_Gio_Cong_7_Ngay'!$B:$B,0))),""))</f>
      </c>
      <c r="Z144" s="60">
        <f t="array" ref="Z144">IF($C144="","",IFERROR(IF(INDEX('05_Theo_Doi_Gio_Cong_7_Ngay'!$Q:$Q,MATCH($C144,'05_Theo_Doi_Gio_Cong_7_Ngay'!$B:$B,0))=0,"",INDEX('05_Theo_Doi_Gio_Cong_7_Ngay'!$Q:$Q,MATCH($C144,'05_Theo_Doi_Gio_Cong_7_Ngay'!$B:$B,0))),""))</f>
      </c>
      <c r="AA144" s="60">
        <f t="array" ref="AA144">IF($B144="","",IFERROR(IF(INDEX('02_DS_Nhan_Viec'!$H:$H,MATCH($B144,'02_DS_Nhan_Viec'!$B:$B,0))=0,"",INDEX('02_DS_Nhan_Viec'!$H:$H,MATCH($B144,'02_DS_Nhan_Viec'!$B:$B,0))),""))</f>
      </c>
      <c r="AB144" s="60">
        <f t="array" ref="AB144">IF($B144="","",IFERROR(IF(INDEX('02_DS_Nhan_Viec'!$I:$I,MATCH($B144,'02_DS_Nhan_Viec'!$B:$B,0))=0,"",INDEX('02_DS_Nhan_Viec'!$I:$I,MATCH($B144,'02_DS_Nhan_Viec'!$B:$B,0))),""))</f>
      </c>
      <c r="AC144" s="61">
        <f t="array" ref="AC144">IF($B144="","",IF($C144="","Đang theo dõi",IF(OR(IFERROR(INDEX('05_Theo_Doi_Gio_Cong_7_Ngay'!$R:$R,MATCH($C144,'05_Theo_Doi_Gio_Cong_7_Ngay'!$B:$B,0)),"")="",IFERROR(INDEX('05_Theo_Doi_Gio_Cong_7_Ngay'!$R:$R,MATCH($C144,'05_Theo_Doi_Gio_Cong_7_Ngay'!$B:$B,0)),0)=0),"Đang theo dõi",IFERROR(INDEX('06_DS_Chinh_Thuc'!$K:$K,MATCH(IFERROR(INDEX('05_Theo_Doi_Gio_Cong_7_Ngay'!$R:$R,MATCH($C144,'05_Theo_Doi_Gio_Cong_7_Ngay'!$B:$B,0)),0),'06_DS_Chinh_Thuc'!$B:$B,0)),"Đang theo dõi"))))</f>
      </c>
    </row>
    <row r="145" ht="14.25" customHeight="1" spans="1:29" x14ac:dyDescent="0.25">
      <c r="A145" s="52">
        <f t="shared" si="0"/>
      </c>
      <c r="B145" s="52">
        <f t="array" ref="B145">IFERROR(INDEX('02_DS_Nhan_Viec'!$B:$B,MATCH(144,'02_DS_Nhan_Viec'!$M:$M,0)),"")</f>
      </c>
      <c r="C145" s="52">
        <f t="array" ref="C145">IF($B145="","",IFERROR(IF(INDEX('02_DS_Nhan_Viec'!$J:$J,MATCH($B145,'02_DS_Nhan_Viec'!$B:$B,0))=0,"",INDEX('02_DS_Nhan_Viec'!$J:$J,MATCH($B145,'02_DS_Nhan_Viec'!$B:$B,0))),""))</f>
      </c>
      <c r="D145" s="52">
        <f t="array" ref="D145">IF($C145="","",IFERROR(IF(INDEX('05_Theo_Doi_Gio_Cong_7_Ngay'!$R:$R,MATCH($C145,'05_Theo_Doi_Gio_Cong_7_Ngay'!$B:$B,0))=0,"",INDEX('05_Theo_Doi_Gio_Cong_7_Ngay'!$R:$R,MATCH($C145,'05_Theo_Doi_Gio_Cong_7_Ngay'!$B:$B,0))),""))</f>
      </c>
      <c r="E145" s="60">
        <f t="array" ref="E145">IF($B145="","",IFERROR(IF(INDEX('01_UngVien_PhongVan'!$D:$D,MATCH($B145,'01_UngVien_PhongVan'!$B:$B,0))=0,"",INDEX('01_UngVien_PhongVan'!$D:$D,MATCH($B145,'01_UngVien_PhongVan'!$B:$B,0))),""))</f>
      </c>
      <c r="F145" s="52">
        <f t="array" ref="F145">IF($B145="","",IFERROR(IF(INDEX('01_UngVien_PhongVan'!$F:$F,MATCH($B145,'01_UngVien_PhongVan'!$B:$B,0))=0,"",INDEX('01_UngVien_PhongVan'!$F:$F,MATCH($B145,'01_UngVien_PhongVan'!$B:$B,0))),""))</f>
      </c>
      <c r="G145" s="72">
        <f t="array" ref="G145">IF($B145="","",IFERROR(IF(INDEX('01_UngVien_PhongVan'!$G:$G,MATCH($B145,'01_UngVien_PhongVan'!$B:$B,0))=0,"",INDEX('01_UngVien_PhongVan'!$G:$G,MATCH($B145,'01_UngVien_PhongVan'!$B:$B,0))),""))</f>
      </c>
      <c r="H145" s="52">
        <f t="array" ref="H145">IF($B145="","",IFERROR(IF(INDEX('01_UngVien_PhongVan'!$H:$H,MATCH($B145,'01_UngVien_PhongVan'!$B:$B,0))=0,"",INDEX('01_UngVien_PhongVan'!$H:$H,MATCH($B145,'01_UngVien_PhongVan'!$B:$B,0))),""))</f>
      </c>
      <c r="I145" s="60">
        <f t="array" ref="I145">IF($B145="","",IFERROR(IF(INDEX('01_UngVien_PhongVan'!$I:$I,MATCH($B145,'01_UngVien_PhongVan'!$B:$B,0))=0,"",INDEX('01_UngVien_PhongVan'!$I:$I,MATCH($B145,'01_UngVien_PhongVan'!$B:$B,0))),""))</f>
      </c>
      <c r="J145" s="60">
        <f t="array" ref="J145">IF($B145="","",IFERROR(IF(INDEX('01_UngVien_PhongVan'!$J:$J,MATCH($B145,'01_UngVien_PhongVan'!$B:$B,0))=0,"",INDEX('01_UngVien_PhongVan'!$J:$J,MATCH($B145,'01_UngVien_PhongVan'!$B:$B,0))),""))</f>
      </c>
      <c r="K145" s="73">
        <f t="array" ref="K145">IF($B145="","",IFERROR(IF(INDEX('01_UngVien_PhongVan'!$K:$K,MATCH($B145,'01_UngVien_PhongVan'!$B:$B,0))=0,"",INDEX('01_UngVien_PhongVan'!$K:$K,MATCH($B145,'01_UngVien_PhongVan'!$B:$B,0))),""))</f>
      </c>
      <c r="L145" s="60">
        <f t="array" ref="L145">IF($B145="","",IFERROR(IF(INDEX('01_UngVien_PhongVan'!$L:$L,MATCH($B145,'01_UngVien_PhongVan'!$B:$B,0))=0,"",INDEX('01_UngVien_PhongVan'!$L:$L,MATCH($B145,'01_UngVien_PhongVan'!$B:$B,0))),""))</f>
      </c>
      <c r="M145" s="60">
        <f t="array" ref="M145">IF($B145="","",IFERROR(IF(INDEX('01_UngVien_PhongVan'!$E:$E,MATCH($B145,'01_UngVien_PhongVan'!$B:$B,0))=0,"",INDEX('01_UngVien_PhongVan'!$E:$E,MATCH($B145,'01_UngVien_PhongVan'!$B:$B,0))),""))</f>
      </c>
      <c r="N145" s="60">
        <f t="array" ref="N145">IF($B145="","",IFERROR(IF(INDEX('01_UngVien_PhongVan'!$M:$M,MATCH($B145,'01_UngVien_PhongVan'!$B:$B,0))=0,"",INDEX('01_UngVien_PhongVan'!$M:$M,MATCH($B145,'01_UngVien_PhongVan'!$B:$B,0))),""))</f>
      </c>
      <c r="O145" s="60">
        <f t="array" ref="O145">IF($B145="","",IFERROR(IF(INDEX('01_UngVien_PhongVan'!$N:$N,MATCH($B145,'01_UngVien_PhongVan'!$B:$B,0))=0,"",INDEX('01_UngVien_PhongVan'!$N:$N,MATCH($B145,'01_UngVien_PhongVan'!$B:$B,0))),""))</f>
      </c>
      <c r="P145" s="60">
        <f t="array" ref="P145">IF($B145="","",IFERROR(IF(INDEX('01_UngVien_PhongVan'!$O:$O,MATCH($B145,'01_UngVien_PhongVan'!$B:$B,0))=0,"",INDEX('01_UngVien_PhongVan'!$O:$O,MATCH($B145,'01_UngVien_PhongVan'!$B:$B,0))),""))</f>
      </c>
      <c r="Q145" s="60">
        <f t="array" ref="Q145">IF($B145="","",IFERROR(IF(INDEX('01_UngVien_PhongVan'!$P:$P,MATCH($B145,'01_UngVien_PhongVan'!$B:$B,0))=0,"",INDEX('01_UngVien_PhongVan'!$P:$P,MATCH($B145,'01_UngVien_PhongVan'!$B:$B,0))),""))</f>
      </c>
      <c r="R145" s="60">
        <f t="array" ref="R145">IF($B145="","",IFERROR(IF(INDEX('01_UngVien_PhongVan'!$Q:$Q,MATCH($B145,'01_UngVien_PhongVan'!$B:$B,0))=0,"",INDEX('01_UngVien_PhongVan'!$Q:$Q,MATCH($B145,'01_UngVien_PhongVan'!$B:$B,0))),""))</f>
      </c>
      <c r="S145" s="60">
        <f t="array" ref="S145">IF($B145="","",IFERROR(IF(INDEX('01_UngVien_PhongVan'!$R:$R,MATCH($B145,'01_UngVien_PhongVan'!$B:$B,0))=0,"",INDEX('01_UngVien_PhongVan'!$R:$R,MATCH($B145,'01_UngVien_PhongVan'!$B:$B,0))),""))</f>
      </c>
      <c r="T145" s="60">
        <f t="array" ref="T145">IF($B145="","",IFERROR(IF(INDEX('01_UngVien_PhongVan'!$U:$U,MATCH($B145,'01_UngVien_PhongVan'!$B:$B,0))=0,"",INDEX('01_UngVien_PhongVan'!$U:$U,MATCH($B145,'01_UngVien_PhongVan'!$B:$B,0))),""))</f>
      </c>
      <c r="U145" s="73">
        <f t="array" ref="U145">IF($B145="","",IFERROR(IF(INDEX('01_UngVien_PhongVan'!$C:$C,MATCH($B145,'01_UngVien_PhongVan'!$B:$B,0))=0,"",INDEX('01_UngVien_PhongVan'!$C:$C,MATCH($B145,'01_UngVien_PhongVan'!$B:$B,0))),""))</f>
      </c>
      <c r="V145" s="73">
        <f t="array" ref="V145">IF($B145="","",IFERROR(IF(INDEX('02_DS_Nhan_Viec'!$D:$D,MATCH($B145,'02_DS_Nhan_Viec'!$B:$B,0))=0,"",INDEX('02_DS_Nhan_Viec'!$D:$D,MATCH($B145,'02_DS_Nhan_Viec'!$B:$B,0))),""))</f>
      </c>
      <c r="W145" s="73">
        <f t="array" ref="W145">IF($B145="","",IFERROR(IF(INDEX('02_DS_Nhan_Viec'!$E:$E,MATCH($B145,'02_DS_Nhan_Viec'!$B:$B,0))=0,"",INDEX('02_DS_Nhan_Viec'!$E:$E,MATCH($B145,'02_DS_Nhan_Viec'!$B:$B,0))),""))</f>
      </c>
      <c r="X145" s="73">
        <f t="array" ref="X145">IF($C145="","",IFERROR(IF(INDEX('05_Theo_Doi_Gio_Cong_7_Ngay'!$P:$P,MATCH($C145,'05_Theo_Doi_Gio_Cong_7_Ngay'!$B:$B,0))=0,"",INDEX('05_Theo_Doi_Gio_Cong_7_Ngay'!$P:$P,MATCH($C145,'05_Theo_Doi_Gio_Cong_7_Ngay'!$B:$B,0))),""))</f>
      </c>
      <c r="Y145" s="60">
        <f t="array" ref="Y145">IF($C145="","",IFERROR(IF(INDEX('05_Theo_Doi_Gio_Cong_7_Ngay'!$M:$M,MATCH($C145,'05_Theo_Doi_Gio_Cong_7_Ngay'!$B:$B,0))=0,"",INDEX('05_Theo_Doi_Gio_Cong_7_Ngay'!$M:$M,MATCH($C145,'05_Theo_Doi_Gio_Cong_7_Ngay'!$B:$B,0))),""))</f>
      </c>
      <c r="Z145" s="60">
        <f t="array" ref="Z145">IF($C145="","",IFERROR(IF(INDEX('05_Theo_Doi_Gio_Cong_7_Ngay'!$Q:$Q,MATCH($C145,'05_Theo_Doi_Gio_Cong_7_Ngay'!$B:$B,0))=0,"",INDEX('05_Theo_Doi_Gio_Cong_7_Ngay'!$Q:$Q,MATCH($C145,'05_Theo_Doi_Gio_Cong_7_Ngay'!$B:$B,0))),""))</f>
      </c>
      <c r="AA145" s="60">
        <f t="array" ref="AA145">IF($B145="","",IFERROR(IF(INDEX('02_DS_Nhan_Viec'!$H:$H,MATCH($B145,'02_DS_Nhan_Viec'!$B:$B,0))=0,"",INDEX('02_DS_Nhan_Viec'!$H:$H,MATCH($B145,'02_DS_Nhan_Viec'!$B:$B,0))),""))</f>
      </c>
      <c r="AB145" s="60">
        <f t="array" ref="AB145">IF($B145="","",IFERROR(IF(INDEX('02_DS_Nhan_Viec'!$I:$I,MATCH($B145,'02_DS_Nhan_Viec'!$B:$B,0))=0,"",INDEX('02_DS_Nhan_Viec'!$I:$I,MATCH($B145,'02_DS_Nhan_Viec'!$B:$B,0))),""))</f>
      </c>
      <c r="AC145" s="61">
        <f t="array" ref="AC145">IF($B145="","",IF($C145="","Đang theo dõi",IF(OR(IFERROR(INDEX('05_Theo_Doi_Gio_Cong_7_Ngay'!$R:$R,MATCH($C145,'05_Theo_Doi_Gio_Cong_7_Ngay'!$B:$B,0)),"")="",IFERROR(INDEX('05_Theo_Doi_Gio_Cong_7_Ngay'!$R:$R,MATCH($C145,'05_Theo_Doi_Gio_Cong_7_Ngay'!$B:$B,0)),0)=0),"Đang theo dõi",IFERROR(INDEX('06_DS_Chinh_Thuc'!$K:$K,MATCH(IFERROR(INDEX('05_Theo_Doi_Gio_Cong_7_Ngay'!$R:$R,MATCH($C145,'05_Theo_Doi_Gio_Cong_7_Ngay'!$B:$B,0)),0),'06_DS_Chinh_Thuc'!$B:$B,0)),"Đang theo dõi"))))</f>
      </c>
    </row>
    <row r="146" ht="14.25" customHeight="1" spans="1:29" x14ac:dyDescent="0.25">
      <c r="A146" s="52">
        <f t="shared" si="0"/>
      </c>
      <c r="B146" s="52">
        <f t="array" ref="B146">IFERROR(INDEX('02_DS_Nhan_Viec'!$B:$B,MATCH(145,'02_DS_Nhan_Viec'!$M:$M,0)),"")</f>
      </c>
      <c r="C146" s="52">
        <f t="array" ref="C146">IF($B146="","",IFERROR(IF(INDEX('02_DS_Nhan_Viec'!$J:$J,MATCH($B146,'02_DS_Nhan_Viec'!$B:$B,0))=0,"",INDEX('02_DS_Nhan_Viec'!$J:$J,MATCH($B146,'02_DS_Nhan_Viec'!$B:$B,0))),""))</f>
      </c>
      <c r="D146" s="52">
        <f t="array" ref="D146">IF($C146="","",IFERROR(IF(INDEX('05_Theo_Doi_Gio_Cong_7_Ngay'!$R:$R,MATCH($C146,'05_Theo_Doi_Gio_Cong_7_Ngay'!$B:$B,0))=0,"",INDEX('05_Theo_Doi_Gio_Cong_7_Ngay'!$R:$R,MATCH($C146,'05_Theo_Doi_Gio_Cong_7_Ngay'!$B:$B,0))),""))</f>
      </c>
      <c r="E146" s="60">
        <f t="array" ref="E146">IF($B146="","",IFERROR(IF(INDEX('01_UngVien_PhongVan'!$D:$D,MATCH($B146,'01_UngVien_PhongVan'!$B:$B,0))=0,"",INDEX('01_UngVien_PhongVan'!$D:$D,MATCH($B146,'01_UngVien_PhongVan'!$B:$B,0))),""))</f>
      </c>
      <c r="F146" s="52">
        <f t="array" ref="F146">IF($B146="","",IFERROR(IF(INDEX('01_UngVien_PhongVan'!$F:$F,MATCH($B146,'01_UngVien_PhongVan'!$B:$B,0))=0,"",INDEX('01_UngVien_PhongVan'!$F:$F,MATCH($B146,'01_UngVien_PhongVan'!$B:$B,0))),""))</f>
      </c>
      <c r="G146" s="72">
        <f t="array" ref="G146">IF($B146="","",IFERROR(IF(INDEX('01_UngVien_PhongVan'!$G:$G,MATCH($B146,'01_UngVien_PhongVan'!$B:$B,0))=0,"",INDEX('01_UngVien_PhongVan'!$G:$G,MATCH($B146,'01_UngVien_PhongVan'!$B:$B,0))),""))</f>
      </c>
      <c r="H146" s="52">
        <f t="array" ref="H146">IF($B146="","",IFERROR(IF(INDEX('01_UngVien_PhongVan'!$H:$H,MATCH($B146,'01_UngVien_PhongVan'!$B:$B,0))=0,"",INDEX('01_UngVien_PhongVan'!$H:$H,MATCH($B146,'01_UngVien_PhongVan'!$B:$B,0))),""))</f>
      </c>
      <c r="I146" s="60">
        <f t="array" ref="I146">IF($B146="","",IFERROR(IF(INDEX('01_UngVien_PhongVan'!$I:$I,MATCH($B146,'01_UngVien_PhongVan'!$B:$B,0))=0,"",INDEX('01_UngVien_PhongVan'!$I:$I,MATCH($B146,'01_UngVien_PhongVan'!$B:$B,0))),""))</f>
      </c>
      <c r="J146" s="60">
        <f t="array" ref="J146">IF($B146="","",IFERROR(IF(INDEX('01_UngVien_PhongVan'!$J:$J,MATCH($B146,'01_UngVien_PhongVan'!$B:$B,0))=0,"",INDEX('01_UngVien_PhongVan'!$J:$J,MATCH($B146,'01_UngVien_PhongVan'!$B:$B,0))),""))</f>
      </c>
      <c r="K146" s="73">
        <f t="array" ref="K146">IF($B146="","",IFERROR(IF(INDEX('01_UngVien_PhongVan'!$K:$K,MATCH($B146,'01_UngVien_PhongVan'!$B:$B,0))=0,"",INDEX('01_UngVien_PhongVan'!$K:$K,MATCH($B146,'01_UngVien_PhongVan'!$B:$B,0))),""))</f>
      </c>
      <c r="L146" s="60">
        <f t="array" ref="L146">IF($B146="","",IFERROR(IF(INDEX('01_UngVien_PhongVan'!$L:$L,MATCH($B146,'01_UngVien_PhongVan'!$B:$B,0))=0,"",INDEX('01_UngVien_PhongVan'!$L:$L,MATCH($B146,'01_UngVien_PhongVan'!$B:$B,0))),""))</f>
      </c>
      <c r="M146" s="60">
        <f t="array" ref="M146">IF($B146="","",IFERROR(IF(INDEX('01_UngVien_PhongVan'!$E:$E,MATCH($B146,'01_UngVien_PhongVan'!$B:$B,0))=0,"",INDEX('01_UngVien_PhongVan'!$E:$E,MATCH($B146,'01_UngVien_PhongVan'!$B:$B,0))),""))</f>
      </c>
      <c r="N146" s="60">
        <f t="array" ref="N146">IF($B146="","",IFERROR(IF(INDEX('01_UngVien_PhongVan'!$M:$M,MATCH($B146,'01_UngVien_PhongVan'!$B:$B,0))=0,"",INDEX('01_UngVien_PhongVan'!$M:$M,MATCH($B146,'01_UngVien_PhongVan'!$B:$B,0))),""))</f>
      </c>
      <c r="O146" s="60">
        <f t="array" ref="O146">IF($B146="","",IFERROR(IF(INDEX('01_UngVien_PhongVan'!$N:$N,MATCH($B146,'01_UngVien_PhongVan'!$B:$B,0))=0,"",INDEX('01_UngVien_PhongVan'!$N:$N,MATCH($B146,'01_UngVien_PhongVan'!$B:$B,0))),""))</f>
      </c>
      <c r="P146" s="60">
        <f t="array" ref="P146">IF($B146="","",IFERROR(IF(INDEX('01_UngVien_PhongVan'!$O:$O,MATCH($B146,'01_UngVien_PhongVan'!$B:$B,0))=0,"",INDEX('01_UngVien_PhongVan'!$O:$O,MATCH($B146,'01_UngVien_PhongVan'!$B:$B,0))),""))</f>
      </c>
      <c r="Q146" s="60">
        <f t="array" ref="Q146">IF($B146="","",IFERROR(IF(INDEX('01_UngVien_PhongVan'!$P:$P,MATCH($B146,'01_UngVien_PhongVan'!$B:$B,0))=0,"",INDEX('01_UngVien_PhongVan'!$P:$P,MATCH($B146,'01_UngVien_PhongVan'!$B:$B,0))),""))</f>
      </c>
      <c r="R146" s="60">
        <f t="array" ref="R146">IF($B146="","",IFERROR(IF(INDEX('01_UngVien_PhongVan'!$Q:$Q,MATCH($B146,'01_UngVien_PhongVan'!$B:$B,0))=0,"",INDEX('01_UngVien_PhongVan'!$Q:$Q,MATCH($B146,'01_UngVien_PhongVan'!$B:$B,0))),""))</f>
      </c>
      <c r="S146" s="60">
        <f t="array" ref="S146">IF($B146="","",IFERROR(IF(INDEX('01_UngVien_PhongVan'!$R:$R,MATCH($B146,'01_UngVien_PhongVan'!$B:$B,0))=0,"",INDEX('01_UngVien_PhongVan'!$R:$R,MATCH($B146,'01_UngVien_PhongVan'!$B:$B,0))),""))</f>
      </c>
      <c r="T146" s="60">
        <f t="array" ref="T146">IF($B146="","",IFERROR(IF(INDEX('01_UngVien_PhongVan'!$U:$U,MATCH($B146,'01_UngVien_PhongVan'!$B:$B,0))=0,"",INDEX('01_UngVien_PhongVan'!$U:$U,MATCH($B146,'01_UngVien_PhongVan'!$B:$B,0))),""))</f>
      </c>
      <c r="U146" s="73">
        <f t="array" ref="U146">IF($B146="","",IFERROR(IF(INDEX('01_UngVien_PhongVan'!$C:$C,MATCH($B146,'01_UngVien_PhongVan'!$B:$B,0))=0,"",INDEX('01_UngVien_PhongVan'!$C:$C,MATCH($B146,'01_UngVien_PhongVan'!$B:$B,0))),""))</f>
      </c>
      <c r="V146" s="73">
        <f t="array" ref="V146">IF($B146="","",IFERROR(IF(INDEX('02_DS_Nhan_Viec'!$D:$D,MATCH($B146,'02_DS_Nhan_Viec'!$B:$B,0))=0,"",INDEX('02_DS_Nhan_Viec'!$D:$D,MATCH($B146,'02_DS_Nhan_Viec'!$B:$B,0))),""))</f>
      </c>
      <c r="W146" s="73">
        <f t="array" ref="W146">IF($B146="","",IFERROR(IF(INDEX('02_DS_Nhan_Viec'!$E:$E,MATCH($B146,'02_DS_Nhan_Viec'!$B:$B,0))=0,"",INDEX('02_DS_Nhan_Viec'!$E:$E,MATCH($B146,'02_DS_Nhan_Viec'!$B:$B,0))),""))</f>
      </c>
      <c r="X146" s="73">
        <f t="array" ref="X146">IF($C146="","",IFERROR(IF(INDEX('05_Theo_Doi_Gio_Cong_7_Ngay'!$P:$P,MATCH($C146,'05_Theo_Doi_Gio_Cong_7_Ngay'!$B:$B,0))=0,"",INDEX('05_Theo_Doi_Gio_Cong_7_Ngay'!$P:$P,MATCH($C146,'05_Theo_Doi_Gio_Cong_7_Ngay'!$B:$B,0))),""))</f>
      </c>
      <c r="Y146" s="60">
        <f t="array" ref="Y146">IF($C146="","",IFERROR(IF(INDEX('05_Theo_Doi_Gio_Cong_7_Ngay'!$M:$M,MATCH($C146,'05_Theo_Doi_Gio_Cong_7_Ngay'!$B:$B,0))=0,"",INDEX('05_Theo_Doi_Gio_Cong_7_Ngay'!$M:$M,MATCH($C146,'05_Theo_Doi_Gio_Cong_7_Ngay'!$B:$B,0))),""))</f>
      </c>
      <c r="Z146" s="60">
        <f t="array" ref="Z146">IF($C146="","",IFERROR(IF(INDEX('05_Theo_Doi_Gio_Cong_7_Ngay'!$Q:$Q,MATCH($C146,'05_Theo_Doi_Gio_Cong_7_Ngay'!$B:$B,0))=0,"",INDEX('05_Theo_Doi_Gio_Cong_7_Ngay'!$Q:$Q,MATCH($C146,'05_Theo_Doi_Gio_Cong_7_Ngay'!$B:$B,0))),""))</f>
      </c>
      <c r="AA146" s="60">
        <f t="array" ref="AA146">IF($B146="","",IFERROR(IF(INDEX('02_DS_Nhan_Viec'!$H:$H,MATCH($B146,'02_DS_Nhan_Viec'!$B:$B,0))=0,"",INDEX('02_DS_Nhan_Viec'!$H:$H,MATCH($B146,'02_DS_Nhan_Viec'!$B:$B,0))),""))</f>
      </c>
      <c r="AB146" s="60">
        <f t="array" ref="AB146">IF($B146="","",IFERROR(IF(INDEX('02_DS_Nhan_Viec'!$I:$I,MATCH($B146,'02_DS_Nhan_Viec'!$B:$B,0))=0,"",INDEX('02_DS_Nhan_Viec'!$I:$I,MATCH($B146,'02_DS_Nhan_Viec'!$B:$B,0))),""))</f>
      </c>
      <c r="AC146" s="61">
        <f t="array" ref="AC146">IF($B146="","",IF($C146="","Đang theo dõi",IF(OR(IFERROR(INDEX('05_Theo_Doi_Gio_Cong_7_Ngay'!$R:$R,MATCH($C146,'05_Theo_Doi_Gio_Cong_7_Ngay'!$B:$B,0)),"")="",IFERROR(INDEX('05_Theo_Doi_Gio_Cong_7_Ngay'!$R:$R,MATCH($C146,'05_Theo_Doi_Gio_Cong_7_Ngay'!$B:$B,0)),0)=0),"Đang theo dõi",IFERROR(INDEX('06_DS_Chinh_Thuc'!$K:$K,MATCH(IFERROR(INDEX('05_Theo_Doi_Gio_Cong_7_Ngay'!$R:$R,MATCH($C146,'05_Theo_Doi_Gio_Cong_7_Ngay'!$B:$B,0)),0),'06_DS_Chinh_Thuc'!$B:$B,0)),"Đang theo dõi"))))</f>
      </c>
    </row>
    <row r="147" ht="14.25" customHeight="1" spans="1:29" x14ac:dyDescent="0.25">
      <c r="A147" s="52">
        <f t="shared" si="0"/>
      </c>
      <c r="B147" s="52">
        <f t="array" ref="B147">IFERROR(INDEX('02_DS_Nhan_Viec'!$B:$B,MATCH(146,'02_DS_Nhan_Viec'!$M:$M,0)),"")</f>
      </c>
      <c r="C147" s="52">
        <f t="array" ref="C147">IF($B147="","",IFERROR(IF(INDEX('02_DS_Nhan_Viec'!$J:$J,MATCH($B147,'02_DS_Nhan_Viec'!$B:$B,0))=0,"",INDEX('02_DS_Nhan_Viec'!$J:$J,MATCH($B147,'02_DS_Nhan_Viec'!$B:$B,0))),""))</f>
      </c>
      <c r="D147" s="52">
        <f t="array" ref="D147">IF($C147="","",IFERROR(IF(INDEX('05_Theo_Doi_Gio_Cong_7_Ngay'!$R:$R,MATCH($C147,'05_Theo_Doi_Gio_Cong_7_Ngay'!$B:$B,0))=0,"",INDEX('05_Theo_Doi_Gio_Cong_7_Ngay'!$R:$R,MATCH($C147,'05_Theo_Doi_Gio_Cong_7_Ngay'!$B:$B,0))),""))</f>
      </c>
      <c r="E147" s="60">
        <f t="array" ref="E147">IF($B147="","",IFERROR(IF(INDEX('01_UngVien_PhongVan'!$D:$D,MATCH($B147,'01_UngVien_PhongVan'!$B:$B,0))=0,"",INDEX('01_UngVien_PhongVan'!$D:$D,MATCH($B147,'01_UngVien_PhongVan'!$B:$B,0))),""))</f>
      </c>
      <c r="F147" s="52">
        <f t="array" ref="F147">IF($B147="","",IFERROR(IF(INDEX('01_UngVien_PhongVan'!$F:$F,MATCH($B147,'01_UngVien_PhongVan'!$B:$B,0))=0,"",INDEX('01_UngVien_PhongVan'!$F:$F,MATCH($B147,'01_UngVien_PhongVan'!$B:$B,0))),""))</f>
      </c>
      <c r="G147" s="72">
        <f t="array" ref="G147">IF($B147="","",IFERROR(IF(INDEX('01_UngVien_PhongVan'!$G:$G,MATCH($B147,'01_UngVien_PhongVan'!$B:$B,0))=0,"",INDEX('01_UngVien_PhongVan'!$G:$G,MATCH($B147,'01_UngVien_PhongVan'!$B:$B,0))),""))</f>
      </c>
      <c r="H147" s="52">
        <f t="array" ref="H147">IF($B147="","",IFERROR(IF(INDEX('01_UngVien_PhongVan'!$H:$H,MATCH($B147,'01_UngVien_PhongVan'!$B:$B,0))=0,"",INDEX('01_UngVien_PhongVan'!$H:$H,MATCH($B147,'01_UngVien_PhongVan'!$B:$B,0))),""))</f>
      </c>
      <c r="I147" s="60">
        <f t="array" ref="I147">IF($B147="","",IFERROR(IF(INDEX('01_UngVien_PhongVan'!$I:$I,MATCH($B147,'01_UngVien_PhongVan'!$B:$B,0))=0,"",INDEX('01_UngVien_PhongVan'!$I:$I,MATCH($B147,'01_UngVien_PhongVan'!$B:$B,0))),""))</f>
      </c>
      <c r="J147" s="60">
        <f t="array" ref="J147">IF($B147="","",IFERROR(IF(INDEX('01_UngVien_PhongVan'!$J:$J,MATCH($B147,'01_UngVien_PhongVan'!$B:$B,0))=0,"",INDEX('01_UngVien_PhongVan'!$J:$J,MATCH($B147,'01_UngVien_PhongVan'!$B:$B,0))),""))</f>
      </c>
      <c r="K147" s="73">
        <f t="array" ref="K147">IF($B147="","",IFERROR(IF(INDEX('01_UngVien_PhongVan'!$K:$K,MATCH($B147,'01_UngVien_PhongVan'!$B:$B,0))=0,"",INDEX('01_UngVien_PhongVan'!$K:$K,MATCH($B147,'01_UngVien_PhongVan'!$B:$B,0))),""))</f>
      </c>
      <c r="L147" s="60">
        <f t="array" ref="L147">IF($B147="","",IFERROR(IF(INDEX('01_UngVien_PhongVan'!$L:$L,MATCH($B147,'01_UngVien_PhongVan'!$B:$B,0))=0,"",INDEX('01_UngVien_PhongVan'!$L:$L,MATCH($B147,'01_UngVien_PhongVan'!$B:$B,0))),""))</f>
      </c>
      <c r="M147" s="60">
        <f t="array" ref="M147">IF($B147="","",IFERROR(IF(INDEX('01_UngVien_PhongVan'!$E:$E,MATCH($B147,'01_UngVien_PhongVan'!$B:$B,0))=0,"",INDEX('01_UngVien_PhongVan'!$E:$E,MATCH($B147,'01_UngVien_PhongVan'!$B:$B,0))),""))</f>
      </c>
      <c r="N147" s="60">
        <f t="array" ref="N147">IF($B147="","",IFERROR(IF(INDEX('01_UngVien_PhongVan'!$M:$M,MATCH($B147,'01_UngVien_PhongVan'!$B:$B,0))=0,"",INDEX('01_UngVien_PhongVan'!$M:$M,MATCH($B147,'01_UngVien_PhongVan'!$B:$B,0))),""))</f>
      </c>
      <c r="O147" s="60">
        <f t="array" ref="O147">IF($B147="","",IFERROR(IF(INDEX('01_UngVien_PhongVan'!$N:$N,MATCH($B147,'01_UngVien_PhongVan'!$B:$B,0))=0,"",INDEX('01_UngVien_PhongVan'!$N:$N,MATCH($B147,'01_UngVien_PhongVan'!$B:$B,0))),""))</f>
      </c>
      <c r="P147" s="60">
        <f t="array" ref="P147">IF($B147="","",IFERROR(IF(INDEX('01_UngVien_PhongVan'!$O:$O,MATCH($B147,'01_UngVien_PhongVan'!$B:$B,0))=0,"",INDEX('01_UngVien_PhongVan'!$O:$O,MATCH($B147,'01_UngVien_PhongVan'!$B:$B,0))),""))</f>
      </c>
      <c r="Q147" s="60">
        <f t="array" ref="Q147">IF($B147="","",IFERROR(IF(INDEX('01_UngVien_PhongVan'!$P:$P,MATCH($B147,'01_UngVien_PhongVan'!$B:$B,0))=0,"",INDEX('01_UngVien_PhongVan'!$P:$P,MATCH($B147,'01_UngVien_PhongVan'!$B:$B,0))),""))</f>
      </c>
      <c r="R147" s="60">
        <f t="array" ref="R147">IF($B147="","",IFERROR(IF(INDEX('01_UngVien_PhongVan'!$Q:$Q,MATCH($B147,'01_UngVien_PhongVan'!$B:$B,0))=0,"",INDEX('01_UngVien_PhongVan'!$Q:$Q,MATCH($B147,'01_UngVien_PhongVan'!$B:$B,0))),""))</f>
      </c>
      <c r="S147" s="60">
        <f t="array" ref="S147">IF($B147="","",IFERROR(IF(INDEX('01_UngVien_PhongVan'!$R:$R,MATCH($B147,'01_UngVien_PhongVan'!$B:$B,0))=0,"",INDEX('01_UngVien_PhongVan'!$R:$R,MATCH($B147,'01_UngVien_PhongVan'!$B:$B,0))),""))</f>
      </c>
      <c r="T147" s="60">
        <f t="array" ref="T147">IF($B147="","",IFERROR(IF(INDEX('01_UngVien_PhongVan'!$U:$U,MATCH($B147,'01_UngVien_PhongVan'!$B:$B,0))=0,"",INDEX('01_UngVien_PhongVan'!$U:$U,MATCH($B147,'01_UngVien_PhongVan'!$B:$B,0))),""))</f>
      </c>
      <c r="U147" s="73">
        <f t="array" ref="U147">IF($B147="","",IFERROR(IF(INDEX('01_UngVien_PhongVan'!$C:$C,MATCH($B147,'01_UngVien_PhongVan'!$B:$B,0))=0,"",INDEX('01_UngVien_PhongVan'!$C:$C,MATCH($B147,'01_UngVien_PhongVan'!$B:$B,0))),""))</f>
      </c>
      <c r="V147" s="73">
        <f t="array" ref="V147">IF($B147="","",IFERROR(IF(INDEX('02_DS_Nhan_Viec'!$D:$D,MATCH($B147,'02_DS_Nhan_Viec'!$B:$B,0))=0,"",INDEX('02_DS_Nhan_Viec'!$D:$D,MATCH($B147,'02_DS_Nhan_Viec'!$B:$B,0))),""))</f>
      </c>
      <c r="W147" s="73">
        <f t="array" ref="W147">IF($B147="","",IFERROR(IF(INDEX('02_DS_Nhan_Viec'!$E:$E,MATCH($B147,'02_DS_Nhan_Viec'!$B:$B,0))=0,"",INDEX('02_DS_Nhan_Viec'!$E:$E,MATCH($B147,'02_DS_Nhan_Viec'!$B:$B,0))),""))</f>
      </c>
      <c r="X147" s="73">
        <f t="array" ref="X147">IF($C147="","",IFERROR(IF(INDEX('05_Theo_Doi_Gio_Cong_7_Ngay'!$P:$P,MATCH($C147,'05_Theo_Doi_Gio_Cong_7_Ngay'!$B:$B,0))=0,"",INDEX('05_Theo_Doi_Gio_Cong_7_Ngay'!$P:$P,MATCH($C147,'05_Theo_Doi_Gio_Cong_7_Ngay'!$B:$B,0))),""))</f>
      </c>
      <c r="Y147" s="60">
        <f t="array" ref="Y147">IF($C147="","",IFERROR(IF(INDEX('05_Theo_Doi_Gio_Cong_7_Ngay'!$M:$M,MATCH($C147,'05_Theo_Doi_Gio_Cong_7_Ngay'!$B:$B,0))=0,"",INDEX('05_Theo_Doi_Gio_Cong_7_Ngay'!$M:$M,MATCH($C147,'05_Theo_Doi_Gio_Cong_7_Ngay'!$B:$B,0))),""))</f>
      </c>
      <c r="Z147" s="60">
        <f t="array" ref="Z147">IF($C147="","",IFERROR(IF(INDEX('05_Theo_Doi_Gio_Cong_7_Ngay'!$Q:$Q,MATCH($C147,'05_Theo_Doi_Gio_Cong_7_Ngay'!$B:$B,0))=0,"",INDEX('05_Theo_Doi_Gio_Cong_7_Ngay'!$Q:$Q,MATCH($C147,'05_Theo_Doi_Gio_Cong_7_Ngay'!$B:$B,0))),""))</f>
      </c>
      <c r="AA147" s="60">
        <f t="array" ref="AA147">IF($B147="","",IFERROR(IF(INDEX('02_DS_Nhan_Viec'!$H:$H,MATCH($B147,'02_DS_Nhan_Viec'!$B:$B,0))=0,"",INDEX('02_DS_Nhan_Viec'!$H:$H,MATCH($B147,'02_DS_Nhan_Viec'!$B:$B,0))),""))</f>
      </c>
      <c r="AB147" s="60">
        <f t="array" ref="AB147">IF($B147="","",IFERROR(IF(INDEX('02_DS_Nhan_Viec'!$I:$I,MATCH($B147,'02_DS_Nhan_Viec'!$B:$B,0))=0,"",INDEX('02_DS_Nhan_Viec'!$I:$I,MATCH($B147,'02_DS_Nhan_Viec'!$B:$B,0))),""))</f>
      </c>
      <c r="AC147" s="61">
        <f t="array" ref="AC147">IF($B147="","",IF($C147="","Đang theo dõi",IF(OR(IFERROR(INDEX('05_Theo_Doi_Gio_Cong_7_Ngay'!$R:$R,MATCH($C147,'05_Theo_Doi_Gio_Cong_7_Ngay'!$B:$B,0)),"")="",IFERROR(INDEX('05_Theo_Doi_Gio_Cong_7_Ngay'!$R:$R,MATCH($C147,'05_Theo_Doi_Gio_Cong_7_Ngay'!$B:$B,0)),0)=0),"Đang theo dõi",IFERROR(INDEX('06_DS_Chinh_Thuc'!$K:$K,MATCH(IFERROR(INDEX('05_Theo_Doi_Gio_Cong_7_Ngay'!$R:$R,MATCH($C147,'05_Theo_Doi_Gio_Cong_7_Ngay'!$B:$B,0)),0),'06_DS_Chinh_Thuc'!$B:$B,0)),"Đang theo dõi"))))</f>
      </c>
    </row>
    <row r="148" ht="14.25" customHeight="1" spans="1:29" x14ac:dyDescent="0.25">
      <c r="A148" s="52">
        <f t="shared" si="0"/>
      </c>
      <c r="B148" s="52">
        <f t="array" ref="B148">IFERROR(INDEX('02_DS_Nhan_Viec'!$B:$B,MATCH(147,'02_DS_Nhan_Viec'!$M:$M,0)),"")</f>
      </c>
      <c r="C148" s="52">
        <f t="array" ref="C148">IF($B148="","",IFERROR(IF(INDEX('02_DS_Nhan_Viec'!$J:$J,MATCH($B148,'02_DS_Nhan_Viec'!$B:$B,0))=0,"",INDEX('02_DS_Nhan_Viec'!$J:$J,MATCH($B148,'02_DS_Nhan_Viec'!$B:$B,0))),""))</f>
      </c>
      <c r="D148" s="52">
        <f t="array" ref="D148">IF($C148="","",IFERROR(IF(INDEX('05_Theo_Doi_Gio_Cong_7_Ngay'!$R:$R,MATCH($C148,'05_Theo_Doi_Gio_Cong_7_Ngay'!$B:$B,0))=0,"",INDEX('05_Theo_Doi_Gio_Cong_7_Ngay'!$R:$R,MATCH($C148,'05_Theo_Doi_Gio_Cong_7_Ngay'!$B:$B,0))),""))</f>
      </c>
      <c r="E148" s="60">
        <f t="array" ref="E148">IF($B148="","",IFERROR(IF(INDEX('01_UngVien_PhongVan'!$D:$D,MATCH($B148,'01_UngVien_PhongVan'!$B:$B,0))=0,"",INDEX('01_UngVien_PhongVan'!$D:$D,MATCH($B148,'01_UngVien_PhongVan'!$B:$B,0))),""))</f>
      </c>
      <c r="F148" s="52">
        <f t="array" ref="F148">IF($B148="","",IFERROR(IF(INDEX('01_UngVien_PhongVan'!$F:$F,MATCH($B148,'01_UngVien_PhongVan'!$B:$B,0))=0,"",INDEX('01_UngVien_PhongVan'!$F:$F,MATCH($B148,'01_UngVien_PhongVan'!$B:$B,0))),""))</f>
      </c>
      <c r="G148" s="72">
        <f t="array" ref="G148">IF($B148="","",IFERROR(IF(INDEX('01_UngVien_PhongVan'!$G:$G,MATCH($B148,'01_UngVien_PhongVan'!$B:$B,0))=0,"",INDEX('01_UngVien_PhongVan'!$G:$G,MATCH($B148,'01_UngVien_PhongVan'!$B:$B,0))),""))</f>
      </c>
      <c r="H148" s="52">
        <f t="array" ref="H148">IF($B148="","",IFERROR(IF(INDEX('01_UngVien_PhongVan'!$H:$H,MATCH($B148,'01_UngVien_PhongVan'!$B:$B,0))=0,"",INDEX('01_UngVien_PhongVan'!$H:$H,MATCH($B148,'01_UngVien_PhongVan'!$B:$B,0))),""))</f>
      </c>
      <c r="I148" s="60">
        <f t="array" ref="I148">IF($B148="","",IFERROR(IF(INDEX('01_UngVien_PhongVan'!$I:$I,MATCH($B148,'01_UngVien_PhongVan'!$B:$B,0))=0,"",INDEX('01_UngVien_PhongVan'!$I:$I,MATCH($B148,'01_UngVien_PhongVan'!$B:$B,0))),""))</f>
      </c>
      <c r="J148" s="60">
        <f t="array" ref="J148">IF($B148="","",IFERROR(IF(INDEX('01_UngVien_PhongVan'!$J:$J,MATCH($B148,'01_UngVien_PhongVan'!$B:$B,0))=0,"",INDEX('01_UngVien_PhongVan'!$J:$J,MATCH($B148,'01_UngVien_PhongVan'!$B:$B,0))),""))</f>
      </c>
      <c r="K148" s="73">
        <f t="array" ref="K148">IF($B148="","",IFERROR(IF(INDEX('01_UngVien_PhongVan'!$K:$K,MATCH($B148,'01_UngVien_PhongVan'!$B:$B,0))=0,"",INDEX('01_UngVien_PhongVan'!$K:$K,MATCH($B148,'01_UngVien_PhongVan'!$B:$B,0))),""))</f>
      </c>
      <c r="L148" s="60">
        <f t="array" ref="L148">IF($B148="","",IFERROR(IF(INDEX('01_UngVien_PhongVan'!$L:$L,MATCH($B148,'01_UngVien_PhongVan'!$B:$B,0))=0,"",INDEX('01_UngVien_PhongVan'!$L:$L,MATCH($B148,'01_UngVien_PhongVan'!$B:$B,0))),""))</f>
      </c>
      <c r="M148" s="60">
        <f t="array" ref="M148">IF($B148="","",IFERROR(IF(INDEX('01_UngVien_PhongVan'!$E:$E,MATCH($B148,'01_UngVien_PhongVan'!$B:$B,0))=0,"",INDEX('01_UngVien_PhongVan'!$E:$E,MATCH($B148,'01_UngVien_PhongVan'!$B:$B,0))),""))</f>
      </c>
      <c r="N148" s="60">
        <f t="array" ref="N148">IF($B148="","",IFERROR(IF(INDEX('01_UngVien_PhongVan'!$M:$M,MATCH($B148,'01_UngVien_PhongVan'!$B:$B,0))=0,"",INDEX('01_UngVien_PhongVan'!$M:$M,MATCH($B148,'01_UngVien_PhongVan'!$B:$B,0))),""))</f>
      </c>
      <c r="O148" s="60">
        <f t="array" ref="O148">IF($B148="","",IFERROR(IF(INDEX('01_UngVien_PhongVan'!$N:$N,MATCH($B148,'01_UngVien_PhongVan'!$B:$B,0))=0,"",INDEX('01_UngVien_PhongVan'!$N:$N,MATCH($B148,'01_UngVien_PhongVan'!$B:$B,0))),""))</f>
      </c>
      <c r="P148" s="60">
        <f t="array" ref="P148">IF($B148="","",IFERROR(IF(INDEX('01_UngVien_PhongVan'!$O:$O,MATCH($B148,'01_UngVien_PhongVan'!$B:$B,0))=0,"",INDEX('01_UngVien_PhongVan'!$O:$O,MATCH($B148,'01_UngVien_PhongVan'!$B:$B,0))),""))</f>
      </c>
      <c r="Q148" s="60">
        <f t="array" ref="Q148">IF($B148="","",IFERROR(IF(INDEX('01_UngVien_PhongVan'!$P:$P,MATCH($B148,'01_UngVien_PhongVan'!$B:$B,0))=0,"",INDEX('01_UngVien_PhongVan'!$P:$P,MATCH($B148,'01_UngVien_PhongVan'!$B:$B,0))),""))</f>
      </c>
      <c r="R148" s="60">
        <f t="array" ref="R148">IF($B148="","",IFERROR(IF(INDEX('01_UngVien_PhongVan'!$Q:$Q,MATCH($B148,'01_UngVien_PhongVan'!$B:$B,0))=0,"",INDEX('01_UngVien_PhongVan'!$Q:$Q,MATCH($B148,'01_UngVien_PhongVan'!$B:$B,0))),""))</f>
      </c>
      <c r="S148" s="60">
        <f t="array" ref="S148">IF($B148="","",IFERROR(IF(INDEX('01_UngVien_PhongVan'!$R:$R,MATCH($B148,'01_UngVien_PhongVan'!$B:$B,0))=0,"",INDEX('01_UngVien_PhongVan'!$R:$R,MATCH($B148,'01_UngVien_PhongVan'!$B:$B,0))),""))</f>
      </c>
      <c r="T148" s="60">
        <f t="array" ref="T148">IF($B148="","",IFERROR(IF(INDEX('01_UngVien_PhongVan'!$U:$U,MATCH($B148,'01_UngVien_PhongVan'!$B:$B,0))=0,"",INDEX('01_UngVien_PhongVan'!$U:$U,MATCH($B148,'01_UngVien_PhongVan'!$B:$B,0))),""))</f>
      </c>
      <c r="U148" s="73">
        <f t="array" ref="U148">IF($B148="","",IFERROR(IF(INDEX('01_UngVien_PhongVan'!$C:$C,MATCH($B148,'01_UngVien_PhongVan'!$B:$B,0))=0,"",INDEX('01_UngVien_PhongVan'!$C:$C,MATCH($B148,'01_UngVien_PhongVan'!$B:$B,0))),""))</f>
      </c>
      <c r="V148" s="73">
        <f t="array" ref="V148">IF($B148="","",IFERROR(IF(INDEX('02_DS_Nhan_Viec'!$D:$D,MATCH($B148,'02_DS_Nhan_Viec'!$B:$B,0))=0,"",INDEX('02_DS_Nhan_Viec'!$D:$D,MATCH($B148,'02_DS_Nhan_Viec'!$B:$B,0))),""))</f>
      </c>
      <c r="W148" s="73">
        <f t="array" ref="W148">IF($B148="","",IFERROR(IF(INDEX('02_DS_Nhan_Viec'!$E:$E,MATCH($B148,'02_DS_Nhan_Viec'!$B:$B,0))=0,"",INDEX('02_DS_Nhan_Viec'!$E:$E,MATCH($B148,'02_DS_Nhan_Viec'!$B:$B,0))),""))</f>
      </c>
      <c r="X148" s="73">
        <f t="array" ref="X148">IF($C148="","",IFERROR(IF(INDEX('05_Theo_Doi_Gio_Cong_7_Ngay'!$P:$P,MATCH($C148,'05_Theo_Doi_Gio_Cong_7_Ngay'!$B:$B,0))=0,"",INDEX('05_Theo_Doi_Gio_Cong_7_Ngay'!$P:$P,MATCH($C148,'05_Theo_Doi_Gio_Cong_7_Ngay'!$B:$B,0))),""))</f>
      </c>
      <c r="Y148" s="60">
        <f t="array" ref="Y148">IF($C148="","",IFERROR(IF(INDEX('05_Theo_Doi_Gio_Cong_7_Ngay'!$M:$M,MATCH($C148,'05_Theo_Doi_Gio_Cong_7_Ngay'!$B:$B,0))=0,"",INDEX('05_Theo_Doi_Gio_Cong_7_Ngay'!$M:$M,MATCH($C148,'05_Theo_Doi_Gio_Cong_7_Ngay'!$B:$B,0))),""))</f>
      </c>
      <c r="Z148" s="60">
        <f t="array" ref="Z148">IF($C148="","",IFERROR(IF(INDEX('05_Theo_Doi_Gio_Cong_7_Ngay'!$Q:$Q,MATCH($C148,'05_Theo_Doi_Gio_Cong_7_Ngay'!$B:$B,0))=0,"",INDEX('05_Theo_Doi_Gio_Cong_7_Ngay'!$Q:$Q,MATCH($C148,'05_Theo_Doi_Gio_Cong_7_Ngay'!$B:$B,0))),""))</f>
      </c>
      <c r="AA148" s="60">
        <f t="array" ref="AA148">IF($B148="","",IFERROR(IF(INDEX('02_DS_Nhan_Viec'!$H:$H,MATCH($B148,'02_DS_Nhan_Viec'!$B:$B,0))=0,"",INDEX('02_DS_Nhan_Viec'!$H:$H,MATCH($B148,'02_DS_Nhan_Viec'!$B:$B,0))),""))</f>
      </c>
      <c r="AB148" s="60">
        <f t="array" ref="AB148">IF($B148="","",IFERROR(IF(INDEX('02_DS_Nhan_Viec'!$I:$I,MATCH($B148,'02_DS_Nhan_Viec'!$B:$B,0))=0,"",INDEX('02_DS_Nhan_Viec'!$I:$I,MATCH($B148,'02_DS_Nhan_Viec'!$B:$B,0))),""))</f>
      </c>
      <c r="AC148" s="61">
        <f t="array" ref="AC148">IF($B148="","",IF($C148="","Đang theo dõi",IF(OR(IFERROR(INDEX('05_Theo_Doi_Gio_Cong_7_Ngay'!$R:$R,MATCH($C148,'05_Theo_Doi_Gio_Cong_7_Ngay'!$B:$B,0)),"")="",IFERROR(INDEX('05_Theo_Doi_Gio_Cong_7_Ngay'!$R:$R,MATCH($C148,'05_Theo_Doi_Gio_Cong_7_Ngay'!$B:$B,0)),0)=0),"Đang theo dõi",IFERROR(INDEX('06_DS_Chinh_Thuc'!$K:$K,MATCH(IFERROR(INDEX('05_Theo_Doi_Gio_Cong_7_Ngay'!$R:$R,MATCH($C148,'05_Theo_Doi_Gio_Cong_7_Ngay'!$B:$B,0)),0),'06_DS_Chinh_Thuc'!$B:$B,0)),"Đang theo dõi"))))</f>
      </c>
    </row>
    <row r="149" ht="14.25" customHeight="1" spans="1:29" x14ac:dyDescent="0.25">
      <c r="A149" s="52">
        <f t="shared" si="0"/>
      </c>
      <c r="B149" s="52">
        <f t="array" ref="B149">IFERROR(INDEX('02_DS_Nhan_Viec'!$B:$B,MATCH(148,'02_DS_Nhan_Viec'!$M:$M,0)),"")</f>
      </c>
      <c r="C149" s="52">
        <f t="array" ref="C149">IF($B149="","",IFERROR(IF(INDEX('02_DS_Nhan_Viec'!$J:$J,MATCH($B149,'02_DS_Nhan_Viec'!$B:$B,0))=0,"",INDEX('02_DS_Nhan_Viec'!$J:$J,MATCH($B149,'02_DS_Nhan_Viec'!$B:$B,0))),""))</f>
      </c>
      <c r="D149" s="52">
        <f t="array" ref="D149">IF($C149="","",IFERROR(IF(INDEX('05_Theo_Doi_Gio_Cong_7_Ngay'!$R:$R,MATCH($C149,'05_Theo_Doi_Gio_Cong_7_Ngay'!$B:$B,0))=0,"",INDEX('05_Theo_Doi_Gio_Cong_7_Ngay'!$R:$R,MATCH($C149,'05_Theo_Doi_Gio_Cong_7_Ngay'!$B:$B,0))),""))</f>
      </c>
      <c r="E149" s="60">
        <f t="array" ref="E149">IF($B149="","",IFERROR(IF(INDEX('01_UngVien_PhongVan'!$D:$D,MATCH($B149,'01_UngVien_PhongVan'!$B:$B,0))=0,"",INDEX('01_UngVien_PhongVan'!$D:$D,MATCH($B149,'01_UngVien_PhongVan'!$B:$B,0))),""))</f>
      </c>
      <c r="F149" s="52">
        <f t="array" ref="F149">IF($B149="","",IFERROR(IF(INDEX('01_UngVien_PhongVan'!$F:$F,MATCH($B149,'01_UngVien_PhongVan'!$B:$B,0))=0,"",INDEX('01_UngVien_PhongVan'!$F:$F,MATCH($B149,'01_UngVien_PhongVan'!$B:$B,0))),""))</f>
      </c>
      <c r="G149" s="72">
        <f t="array" ref="G149">IF($B149="","",IFERROR(IF(INDEX('01_UngVien_PhongVan'!$G:$G,MATCH($B149,'01_UngVien_PhongVan'!$B:$B,0))=0,"",INDEX('01_UngVien_PhongVan'!$G:$G,MATCH($B149,'01_UngVien_PhongVan'!$B:$B,0))),""))</f>
      </c>
      <c r="H149" s="52">
        <f t="array" ref="H149">IF($B149="","",IFERROR(IF(INDEX('01_UngVien_PhongVan'!$H:$H,MATCH($B149,'01_UngVien_PhongVan'!$B:$B,0))=0,"",INDEX('01_UngVien_PhongVan'!$H:$H,MATCH($B149,'01_UngVien_PhongVan'!$B:$B,0))),""))</f>
      </c>
      <c r="I149" s="60">
        <f t="array" ref="I149">IF($B149="","",IFERROR(IF(INDEX('01_UngVien_PhongVan'!$I:$I,MATCH($B149,'01_UngVien_PhongVan'!$B:$B,0))=0,"",INDEX('01_UngVien_PhongVan'!$I:$I,MATCH($B149,'01_UngVien_PhongVan'!$B:$B,0))),""))</f>
      </c>
      <c r="J149" s="60">
        <f t="array" ref="J149">IF($B149="","",IFERROR(IF(INDEX('01_UngVien_PhongVan'!$J:$J,MATCH($B149,'01_UngVien_PhongVan'!$B:$B,0))=0,"",INDEX('01_UngVien_PhongVan'!$J:$J,MATCH($B149,'01_UngVien_PhongVan'!$B:$B,0))),""))</f>
      </c>
      <c r="K149" s="73">
        <f t="array" ref="K149">IF($B149="","",IFERROR(IF(INDEX('01_UngVien_PhongVan'!$K:$K,MATCH($B149,'01_UngVien_PhongVan'!$B:$B,0))=0,"",INDEX('01_UngVien_PhongVan'!$K:$K,MATCH($B149,'01_UngVien_PhongVan'!$B:$B,0))),""))</f>
      </c>
      <c r="L149" s="60">
        <f t="array" ref="L149">IF($B149="","",IFERROR(IF(INDEX('01_UngVien_PhongVan'!$L:$L,MATCH($B149,'01_UngVien_PhongVan'!$B:$B,0))=0,"",INDEX('01_UngVien_PhongVan'!$L:$L,MATCH($B149,'01_UngVien_PhongVan'!$B:$B,0))),""))</f>
      </c>
      <c r="M149" s="60">
        <f t="array" ref="M149">IF($B149="","",IFERROR(IF(INDEX('01_UngVien_PhongVan'!$E:$E,MATCH($B149,'01_UngVien_PhongVan'!$B:$B,0))=0,"",INDEX('01_UngVien_PhongVan'!$E:$E,MATCH($B149,'01_UngVien_PhongVan'!$B:$B,0))),""))</f>
      </c>
      <c r="N149" s="60">
        <f t="array" ref="N149">IF($B149="","",IFERROR(IF(INDEX('01_UngVien_PhongVan'!$M:$M,MATCH($B149,'01_UngVien_PhongVan'!$B:$B,0))=0,"",INDEX('01_UngVien_PhongVan'!$M:$M,MATCH($B149,'01_UngVien_PhongVan'!$B:$B,0))),""))</f>
      </c>
      <c r="O149" s="60">
        <f t="array" ref="O149">IF($B149="","",IFERROR(IF(INDEX('01_UngVien_PhongVan'!$N:$N,MATCH($B149,'01_UngVien_PhongVan'!$B:$B,0))=0,"",INDEX('01_UngVien_PhongVan'!$N:$N,MATCH($B149,'01_UngVien_PhongVan'!$B:$B,0))),""))</f>
      </c>
      <c r="P149" s="60">
        <f t="array" ref="P149">IF($B149="","",IFERROR(IF(INDEX('01_UngVien_PhongVan'!$O:$O,MATCH($B149,'01_UngVien_PhongVan'!$B:$B,0))=0,"",INDEX('01_UngVien_PhongVan'!$O:$O,MATCH($B149,'01_UngVien_PhongVan'!$B:$B,0))),""))</f>
      </c>
      <c r="Q149" s="60">
        <f t="array" ref="Q149">IF($B149="","",IFERROR(IF(INDEX('01_UngVien_PhongVan'!$P:$P,MATCH($B149,'01_UngVien_PhongVan'!$B:$B,0))=0,"",INDEX('01_UngVien_PhongVan'!$P:$P,MATCH($B149,'01_UngVien_PhongVan'!$B:$B,0))),""))</f>
      </c>
      <c r="R149" s="60">
        <f t="array" ref="R149">IF($B149="","",IFERROR(IF(INDEX('01_UngVien_PhongVan'!$Q:$Q,MATCH($B149,'01_UngVien_PhongVan'!$B:$B,0))=0,"",INDEX('01_UngVien_PhongVan'!$Q:$Q,MATCH($B149,'01_UngVien_PhongVan'!$B:$B,0))),""))</f>
      </c>
      <c r="S149" s="60">
        <f t="array" ref="S149">IF($B149="","",IFERROR(IF(INDEX('01_UngVien_PhongVan'!$R:$R,MATCH($B149,'01_UngVien_PhongVan'!$B:$B,0))=0,"",INDEX('01_UngVien_PhongVan'!$R:$R,MATCH($B149,'01_UngVien_PhongVan'!$B:$B,0))),""))</f>
      </c>
      <c r="T149" s="60">
        <f t="array" ref="T149">IF($B149="","",IFERROR(IF(INDEX('01_UngVien_PhongVan'!$U:$U,MATCH($B149,'01_UngVien_PhongVan'!$B:$B,0))=0,"",INDEX('01_UngVien_PhongVan'!$U:$U,MATCH($B149,'01_UngVien_PhongVan'!$B:$B,0))),""))</f>
      </c>
      <c r="U149" s="73">
        <f t="array" ref="U149">IF($B149="","",IFERROR(IF(INDEX('01_UngVien_PhongVan'!$C:$C,MATCH($B149,'01_UngVien_PhongVan'!$B:$B,0))=0,"",INDEX('01_UngVien_PhongVan'!$C:$C,MATCH($B149,'01_UngVien_PhongVan'!$B:$B,0))),""))</f>
      </c>
      <c r="V149" s="73">
        <f t="array" ref="V149">IF($B149="","",IFERROR(IF(INDEX('02_DS_Nhan_Viec'!$D:$D,MATCH($B149,'02_DS_Nhan_Viec'!$B:$B,0))=0,"",INDEX('02_DS_Nhan_Viec'!$D:$D,MATCH($B149,'02_DS_Nhan_Viec'!$B:$B,0))),""))</f>
      </c>
      <c r="W149" s="73">
        <f t="array" ref="W149">IF($B149="","",IFERROR(IF(INDEX('02_DS_Nhan_Viec'!$E:$E,MATCH($B149,'02_DS_Nhan_Viec'!$B:$B,0))=0,"",INDEX('02_DS_Nhan_Viec'!$E:$E,MATCH($B149,'02_DS_Nhan_Viec'!$B:$B,0))),""))</f>
      </c>
      <c r="X149" s="73">
        <f t="array" ref="X149">IF($C149="","",IFERROR(IF(INDEX('05_Theo_Doi_Gio_Cong_7_Ngay'!$P:$P,MATCH($C149,'05_Theo_Doi_Gio_Cong_7_Ngay'!$B:$B,0))=0,"",INDEX('05_Theo_Doi_Gio_Cong_7_Ngay'!$P:$P,MATCH($C149,'05_Theo_Doi_Gio_Cong_7_Ngay'!$B:$B,0))),""))</f>
      </c>
      <c r="Y149" s="60">
        <f t="array" ref="Y149">IF($C149="","",IFERROR(IF(INDEX('05_Theo_Doi_Gio_Cong_7_Ngay'!$M:$M,MATCH($C149,'05_Theo_Doi_Gio_Cong_7_Ngay'!$B:$B,0))=0,"",INDEX('05_Theo_Doi_Gio_Cong_7_Ngay'!$M:$M,MATCH($C149,'05_Theo_Doi_Gio_Cong_7_Ngay'!$B:$B,0))),""))</f>
      </c>
      <c r="Z149" s="60">
        <f t="array" ref="Z149">IF($C149="","",IFERROR(IF(INDEX('05_Theo_Doi_Gio_Cong_7_Ngay'!$Q:$Q,MATCH($C149,'05_Theo_Doi_Gio_Cong_7_Ngay'!$B:$B,0))=0,"",INDEX('05_Theo_Doi_Gio_Cong_7_Ngay'!$Q:$Q,MATCH($C149,'05_Theo_Doi_Gio_Cong_7_Ngay'!$B:$B,0))),""))</f>
      </c>
      <c r="AA149" s="60">
        <f t="array" ref="AA149">IF($B149="","",IFERROR(IF(INDEX('02_DS_Nhan_Viec'!$H:$H,MATCH($B149,'02_DS_Nhan_Viec'!$B:$B,0))=0,"",INDEX('02_DS_Nhan_Viec'!$H:$H,MATCH($B149,'02_DS_Nhan_Viec'!$B:$B,0))),""))</f>
      </c>
      <c r="AB149" s="60">
        <f t="array" ref="AB149">IF($B149="","",IFERROR(IF(INDEX('02_DS_Nhan_Viec'!$I:$I,MATCH($B149,'02_DS_Nhan_Viec'!$B:$B,0))=0,"",INDEX('02_DS_Nhan_Viec'!$I:$I,MATCH($B149,'02_DS_Nhan_Viec'!$B:$B,0))),""))</f>
      </c>
      <c r="AC149" s="61">
        <f t="array" ref="AC149">IF($B149="","",IF($C149="","Đang theo dõi",IF(OR(IFERROR(INDEX('05_Theo_Doi_Gio_Cong_7_Ngay'!$R:$R,MATCH($C149,'05_Theo_Doi_Gio_Cong_7_Ngay'!$B:$B,0)),"")="",IFERROR(INDEX('05_Theo_Doi_Gio_Cong_7_Ngay'!$R:$R,MATCH($C149,'05_Theo_Doi_Gio_Cong_7_Ngay'!$B:$B,0)),0)=0),"Đang theo dõi",IFERROR(INDEX('06_DS_Chinh_Thuc'!$K:$K,MATCH(IFERROR(INDEX('05_Theo_Doi_Gio_Cong_7_Ngay'!$R:$R,MATCH($C149,'05_Theo_Doi_Gio_Cong_7_Ngay'!$B:$B,0)),0),'06_DS_Chinh_Thuc'!$B:$B,0)),"Đang theo dõi"))))</f>
      </c>
    </row>
    <row r="150" ht="14.25" customHeight="1" spans="1:29" x14ac:dyDescent="0.25">
      <c r="A150" s="52">
        <f t="shared" si="0"/>
      </c>
      <c r="B150" s="52">
        <f t="array" ref="B150">IFERROR(INDEX('02_DS_Nhan_Viec'!$B:$B,MATCH(149,'02_DS_Nhan_Viec'!$M:$M,0)),"")</f>
      </c>
      <c r="C150" s="52">
        <f t="array" ref="C150">IF($B150="","",IFERROR(IF(INDEX('02_DS_Nhan_Viec'!$J:$J,MATCH($B150,'02_DS_Nhan_Viec'!$B:$B,0))=0,"",INDEX('02_DS_Nhan_Viec'!$J:$J,MATCH($B150,'02_DS_Nhan_Viec'!$B:$B,0))),""))</f>
      </c>
      <c r="D150" s="52">
        <f t="array" ref="D150">IF($C150="","",IFERROR(IF(INDEX('05_Theo_Doi_Gio_Cong_7_Ngay'!$R:$R,MATCH($C150,'05_Theo_Doi_Gio_Cong_7_Ngay'!$B:$B,0))=0,"",INDEX('05_Theo_Doi_Gio_Cong_7_Ngay'!$R:$R,MATCH($C150,'05_Theo_Doi_Gio_Cong_7_Ngay'!$B:$B,0))),""))</f>
      </c>
      <c r="E150" s="60">
        <f t="array" ref="E150">IF($B150="","",IFERROR(IF(INDEX('01_UngVien_PhongVan'!$D:$D,MATCH($B150,'01_UngVien_PhongVan'!$B:$B,0))=0,"",INDEX('01_UngVien_PhongVan'!$D:$D,MATCH($B150,'01_UngVien_PhongVan'!$B:$B,0))),""))</f>
      </c>
      <c r="F150" s="52">
        <f t="array" ref="F150">IF($B150="","",IFERROR(IF(INDEX('01_UngVien_PhongVan'!$F:$F,MATCH($B150,'01_UngVien_PhongVan'!$B:$B,0))=0,"",INDEX('01_UngVien_PhongVan'!$F:$F,MATCH($B150,'01_UngVien_PhongVan'!$B:$B,0))),""))</f>
      </c>
      <c r="G150" s="72">
        <f t="array" ref="G150">IF($B150="","",IFERROR(IF(INDEX('01_UngVien_PhongVan'!$G:$G,MATCH($B150,'01_UngVien_PhongVan'!$B:$B,0))=0,"",INDEX('01_UngVien_PhongVan'!$G:$G,MATCH($B150,'01_UngVien_PhongVan'!$B:$B,0))),""))</f>
      </c>
      <c r="H150" s="52">
        <f t="array" ref="H150">IF($B150="","",IFERROR(IF(INDEX('01_UngVien_PhongVan'!$H:$H,MATCH($B150,'01_UngVien_PhongVan'!$B:$B,0))=0,"",INDEX('01_UngVien_PhongVan'!$H:$H,MATCH($B150,'01_UngVien_PhongVan'!$B:$B,0))),""))</f>
      </c>
      <c r="I150" s="60">
        <f t="array" ref="I150">IF($B150="","",IFERROR(IF(INDEX('01_UngVien_PhongVan'!$I:$I,MATCH($B150,'01_UngVien_PhongVan'!$B:$B,0))=0,"",INDEX('01_UngVien_PhongVan'!$I:$I,MATCH($B150,'01_UngVien_PhongVan'!$B:$B,0))),""))</f>
      </c>
      <c r="J150" s="60">
        <f t="array" ref="J150">IF($B150="","",IFERROR(IF(INDEX('01_UngVien_PhongVan'!$J:$J,MATCH($B150,'01_UngVien_PhongVan'!$B:$B,0))=0,"",INDEX('01_UngVien_PhongVan'!$J:$J,MATCH($B150,'01_UngVien_PhongVan'!$B:$B,0))),""))</f>
      </c>
      <c r="K150" s="73">
        <f t="array" ref="K150">IF($B150="","",IFERROR(IF(INDEX('01_UngVien_PhongVan'!$K:$K,MATCH($B150,'01_UngVien_PhongVan'!$B:$B,0))=0,"",INDEX('01_UngVien_PhongVan'!$K:$K,MATCH($B150,'01_UngVien_PhongVan'!$B:$B,0))),""))</f>
      </c>
      <c r="L150" s="60">
        <f t="array" ref="L150">IF($B150="","",IFERROR(IF(INDEX('01_UngVien_PhongVan'!$L:$L,MATCH($B150,'01_UngVien_PhongVan'!$B:$B,0))=0,"",INDEX('01_UngVien_PhongVan'!$L:$L,MATCH($B150,'01_UngVien_PhongVan'!$B:$B,0))),""))</f>
      </c>
      <c r="M150" s="60">
        <f t="array" ref="M150">IF($B150="","",IFERROR(IF(INDEX('01_UngVien_PhongVan'!$E:$E,MATCH($B150,'01_UngVien_PhongVan'!$B:$B,0))=0,"",INDEX('01_UngVien_PhongVan'!$E:$E,MATCH($B150,'01_UngVien_PhongVan'!$B:$B,0))),""))</f>
      </c>
      <c r="N150" s="60">
        <f t="array" ref="N150">IF($B150="","",IFERROR(IF(INDEX('01_UngVien_PhongVan'!$M:$M,MATCH($B150,'01_UngVien_PhongVan'!$B:$B,0))=0,"",INDEX('01_UngVien_PhongVan'!$M:$M,MATCH($B150,'01_UngVien_PhongVan'!$B:$B,0))),""))</f>
      </c>
      <c r="O150" s="60">
        <f t="array" ref="O150">IF($B150="","",IFERROR(IF(INDEX('01_UngVien_PhongVan'!$N:$N,MATCH($B150,'01_UngVien_PhongVan'!$B:$B,0))=0,"",INDEX('01_UngVien_PhongVan'!$N:$N,MATCH($B150,'01_UngVien_PhongVan'!$B:$B,0))),""))</f>
      </c>
      <c r="P150" s="60">
        <f t="array" ref="P150">IF($B150="","",IFERROR(IF(INDEX('01_UngVien_PhongVan'!$O:$O,MATCH($B150,'01_UngVien_PhongVan'!$B:$B,0))=0,"",INDEX('01_UngVien_PhongVan'!$O:$O,MATCH($B150,'01_UngVien_PhongVan'!$B:$B,0))),""))</f>
      </c>
      <c r="Q150" s="60">
        <f t="array" ref="Q150">IF($B150="","",IFERROR(IF(INDEX('01_UngVien_PhongVan'!$P:$P,MATCH($B150,'01_UngVien_PhongVan'!$B:$B,0))=0,"",INDEX('01_UngVien_PhongVan'!$P:$P,MATCH($B150,'01_UngVien_PhongVan'!$B:$B,0))),""))</f>
      </c>
      <c r="R150" s="60">
        <f t="array" ref="R150">IF($B150="","",IFERROR(IF(INDEX('01_UngVien_PhongVan'!$Q:$Q,MATCH($B150,'01_UngVien_PhongVan'!$B:$B,0))=0,"",INDEX('01_UngVien_PhongVan'!$Q:$Q,MATCH($B150,'01_UngVien_PhongVan'!$B:$B,0))),""))</f>
      </c>
      <c r="S150" s="60">
        <f t="array" ref="S150">IF($B150="","",IFERROR(IF(INDEX('01_UngVien_PhongVan'!$R:$R,MATCH($B150,'01_UngVien_PhongVan'!$B:$B,0))=0,"",INDEX('01_UngVien_PhongVan'!$R:$R,MATCH($B150,'01_UngVien_PhongVan'!$B:$B,0))),""))</f>
      </c>
      <c r="T150" s="60">
        <f t="array" ref="T150">IF($B150="","",IFERROR(IF(INDEX('01_UngVien_PhongVan'!$U:$U,MATCH($B150,'01_UngVien_PhongVan'!$B:$B,0))=0,"",INDEX('01_UngVien_PhongVan'!$U:$U,MATCH($B150,'01_UngVien_PhongVan'!$B:$B,0))),""))</f>
      </c>
      <c r="U150" s="73">
        <f t="array" ref="U150">IF($B150="","",IFERROR(IF(INDEX('01_UngVien_PhongVan'!$C:$C,MATCH($B150,'01_UngVien_PhongVan'!$B:$B,0))=0,"",INDEX('01_UngVien_PhongVan'!$C:$C,MATCH($B150,'01_UngVien_PhongVan'!$B:$B,0))),""))</f>
      </c>
      <c r="V150" s="73">
        <f t="array" ref="V150">IF($B150="","",IFERROR(IF(INDEX('02_DS_Nhan_Viec'!$D:$D,MATCH($B150,'02_DS_Nhan_Viec'!$B:$B,0))=0,"",INDEX('02_DS_Nhan_Viec'!$D:$D,MATCH($B150,'02_DS_Nhan_Viec'!$B:$B,0))),""))</f>
      </c>
      <c r="W150" s="73">
        <f t="array" ref="W150">IF($B150="","",IFERROR(IF(INDEX('02_DS_Nhan_Viec'!$E:$E,MATCH($B150,'02_DS_Nhan_Viec'!$B:$B,0))=0,"",INDEX('02_DS_Nhan_Viec'!$E:$E,MATCH($B150,'02_DS_Nhan_Viec'!$B:$B,0))),""))</f>
      </c>
      <c r="X150" s="73">
        <f t="array" ref="X150">IF($C150="","",IFERROR(IF(INDEX('05_Theo_Doi_Gio_Cong_7_Ngay'!$P:$P,MATCH($C150,'05_Theo_Doi_Gio_Cong_7_Ngay'!$B:$B,0))=0,"",INDEX('05_Theo_Doi_Gio_Cong_7_Ngay'!$P:$P,MATCH($C150,'05_Theo_Doi_Gio_Cong_7_Ngay'!$B:$B,0))),""))</f>
      </c>
      <c r="Y150" s="60">
        <f t="array" ref="Y150">IF($C150="","",IFERROR(IF(INDEX('05_Theo_Doi_Gio_Cong_7_Ngay'!$M:$M,MATCH($C150,'05_Theo_Doi_Gio_Cong_7_Ngay'!$B:$B,0))=0,"",INDEX('05_Theo_Doi_Gio_Cong_7_Ngay'!$M:$M,MATCH($C150,'05_Theo_Doi_Gio_Cong_7_Ngay'!$B:$B,0))),""))</f>
      </c>
      <c r="Z150" s="60">
        <f t="array" ref="Z150">IF($C150="","",IFERROR(IF(INDEX('05_Theo_Doi_Gio_Cong_7_Ngay'!$Q:$Q,MATCH($C150,'05_Theo_Doi_Gio_Cong_7_Ngay'!$B:$B,0))=0,"",INDEX('05_Theo_Doi_Gio_Cong_7_Ngay'!$Q:$Q,MATCH($C150,'05_Theo_Doi_Gio_Cong_7_Ngay'!$B:$B,0))),""))</f>
      </c>
      <c r="AA150" s="60">
        <f t="array" ref="AA150">IF($B150="","",IFERROR(IF(INDEX('02_DS_Nhan_Viec'!$H:$H,MATCH($B150,'02_DS_Nhan_Viec'!$B:$B,0))=0,"",INDEX('02_DS_Nhan_Viec'!$H:$H,MATCH($B150,'02_DS_Nhan_Viec'!$B:$B,0))),""))</f>
      </c>
      <c r="AB150" s="60">
        <f t="array" ref="AB150">IF($B150="","",IFERROR(IF(INDEX('02_DS_Nhan_Viec'!$I:$I,MATCH($B150,'02_DS_Nhan_Viec'!$B:$B,0))=0,"",INDEX('02_DS_Nhan_Viec'!$I:$I,MATCH($B150,'02_DS_Nhan_Viec'!$B:$B,0))),""))</f>
      </c>
      <c r="AC150" s="61">
        <f t="array" ref="AC150">IF($B150="","",IF($C150="","Đang theo dõi",IF(OR(IFERROR(INDEX('05_Theo_Doi_Gio_Cong_7_Ngay'!$R:$R,MATCH($C150,'05_Theo_Doi_Gio_Cong_7_Ngay'!$B:$B,0)),"")="",IFERROR(INDEX('05_Theo_Doi_Gio_Cong_7_Ngay'!$R:$R,MATCH($C150,'05_Theo_Doi_Gio_Cong_7_Ngay'!$B:$B,0)),0)=0),"Đang theo dõi",IFERROR(INDEX('06_DS_Chinh_Thuc'!$K:$K,MATCH(IFERROR(INDEX('05_Theo_Doi_Gio_Cong_7_Ngay'!$R:$R,MATCH($C150,'05_Theo_Doi_Gio_Cong_7_Ngay'!$B:$B,0)),0),'06_DS_Chinh_Thuc'!$B:$B,0)),"Đang theo dõi"))))</f>
      </c>
    </row>
    <row r="151" ht="14.25" customHeight="1" spans="1:29" x14ac:dyDescent="0.25">
      <c r="A151" s="52">
        <f t="shared" si="0"/>
      </c>
      <c r="B151" s="52">
        <f t="array" ref="B151">IFERROR(INDEX('02_DS_Nhan_Viec'!$B:$B,MATCH(150,'02_DS_Nhan_Viec'!$M:$M,0)),"")</f>
      </c>
      <c r="C151" s="52">
        <f t="array" ref="C151">IF($B151="","",IFERROR(IF(INDEX('02_DS_Nhan_Viec'!$J:$J,MATCH($B151,'02_DS_Nhan_Viec'!$B:$B,0))=0,"",INDEX('02_DS_Nhan_Viec'!$J:$J,MATCH($B151,'02_DS_Nhan_Viec'!$B:$B,0))),""))</f>
      </c>
      <c r="D151" s="52">
        <f t="array" ref="D151">IF($C151="","",IFERROR(IF(INDEX('05_Theo_Doi_Gio_Cong_7_Ngay'!$R:$R,MATCH($C151,'05_Theo_Doi_Gio_Cong_7_Ngay'!$B:$B,0))=0,"",INDEX('05_Theo_Doi_Gio_Cong_7_Ngay'!$R:$R,MATCH($C151,'05_Theo_Doi_Gio_Cong_7_Ngay'!$B:$B,0))),""))</f>
      </c>
      <c r="E151" s="60">
        <f t="array" ref="E151">IF($B151="","",IFERROR(IF(INDEX('01_UngVien_PhongVan'!$D:$D,MATCH($B151,'01_UngVien_PhongVan'!$B:$B,0))=0,"",INDEX('01_UngVien_PhongVan'!$D:$D,MATCH($B151,'01_UngVien_PhongVan'!$B:$B,0))),""))</f>
      </c>
      <c r="F151" s="52">
        <f t="array" ref="F151">IF($B151="","",IFERROR(IF(INDEX('01_UngVien_PhongVan'!$F:$F,MATCH($B151,'01_UngVien_PhongVan'!$B:$B,0))=0,"",INDEX('01_UngVien_PhongVan'!$F:$F,MATCH($B151,'01_UngVien_PhongVan'!$B:$B,0))),""))</f>
      </c>
      <c r="G151" s="72">
        <f t="array" ref="G151">IF($B151="","",IFERROR(IF(INDEX('01_UngVien_PhongVan'!$G:$G,MATCH($B151,'01_UngVien_PhongVan'!$B:$B,0))=0,"",INDEX('01_UngVien_PhongVan'!$G:$G,MATCH($B151,'01_UngVien_PhongVan'!$B:$B,0))),""))</f>
      </c>
      <c r="H151" s="52">
        <f t="array" ref="H151">IF($B151="","",IFERROR(IF(INDEX('01_UngVien_PhongVan'!$H:$H,MATCH($B151,'01_UngVien_PhongVan'!$B:$B,0))=0,"",INDEX('01_UngVien_PhongVan'!$H:$H,MATCH($B151,'01_UngVien_PhongVan'!$B:$B,0))),""))</f>
      </c>
      <c r="I151" s="60">
        <f t="array" ref="I151">IF($B151="","",IFERROR(IF(INDEX('01_UngVien_PhongVan'!$I:$I,MATCH($B151,'01_UngVien_PhongVan'!$B:$B,0))=0,"",INDEX('01_UngVien_PhongVan'!$I:$I,MATCH($B151,'01_UngVien_PhongVan'!$B:$B,0))),""))</f>
      </c>
      <c r="J151" s="60">
        <f t="array" ref="J151">IF($B151="","",IFERROR(IF(INDEX('01_UngVien_PhongVan'!$J:$J,MATCH($B151,'01_UngVien_PhongVan'!$B:$B,0))=0,"",INDEX('01_UngVien_PhongVan'!$J:$J,MATCH($B151,'01_UngVien_PhongVan'!$B:$B,0))),""))</f>
      </c>
      <c r="K151" s="73">
        <f t="array" ref="K151">IF($B151="","",IFERROR(IF(INDEX('01_UngVien_PhongVan'!$K:$K,MATCH($B151,'01_UngVien_PhongVan'!$B:$B,0))=0,"",INDEX('01_UngVien_PhongVan'!$K:$K,MATCH($B151,'01_UngVien_PhongVan'!$B:$B,0))),""))</f>
      </c>
      <c r="L151" s="60">
        <f t="array" ref="L151">IF($B151="","",IFERROR(IF(INDEX('01_UngVien_PhongVan'!$L:$L,MATCH($B151,'01_UngVien_PhongVan'!$B:$B,0))=0,"",INDEX('01_UngVien_PhongVan'!$L:$L,MATCH($B151,'01_UngVien_PhongVan'!$B:$B,0))),""))</f>
      </c>
      <c r="M151" s="60">
        <f t="array" ref="M151">IF($B151="","",IFERROR(IF(INDEX('01_UngVien_PhongVan'!$E:$E,MATCH($B151,'01_UngVien_PhongVan'!$B:$B,0))=0,"",INDEX('01_UngVien_PhongVan'!$E:$E,MATCH($B151,'01_UngVien_PhongVan'!$B:$B,0))),""))</f>
      </c>
      <c r="N151" s="60">
        <f t="array" ref="N151">IF($B151="","",IFERROR(IF(INDEX('01_UngVien_PhongVan'!$M:$M,MATCH($B151,'01_UngVien_PhongVan'!$B:$B,0))=0,"",INDEX('01_UngVien_PhongVan'!$M:$M,MATCH($B151,'01_UngVien_PhongVan'!$B:$B,0))),""))</f>
      </c>
      <c r="O151" s="60">
        <f t="array" ref="O151">IF($B151="","",IFERROR(IF(INDEX('01_UngVien_PhongVan'!$N:$N,MATCH($B151,'01_UngVien_PhongVan'!$B:$B,0))=0,"",INDEX('01_UngVien_PhongVan'!$N:$N,MATCH($B151,'01_UngVien_PhongVan'!$B:$B,0))),""))</f>
      </c>
      <c r="P151" s="60">
        <f t="array" ref="P151">IF($B151="","",IFERROR(IF(INDEX('01_UngVien_PhongVan'!$O:$O,MATCH($B151,'01_UngVien_PhongVan'!$B:$B,0))=0,"",INDEX('01_UngVien_PhongVan'!$O:$O,MATCH($B151,'01_UngVien_PhongVan'!$B:$B,0))),""))</f>
      </c>
      <c r="Q151" s="60">
        <f t="array" ref="Q151">IF($B151="","",IFERROR(IF(INDEX('01_UngVien_PhongVan'!$P:$P,MATCH($B151,'01_UngVien_PhongVan'!$B:$B,0))=0,"",INDEX('01_UngVien_PhongVan'!$P:$P,MATCH($B151,'01_UngVien_PhongVan'!$B:$B,0))),""))</f>
      </c>
      <c r="R151" s="60">
        <f t="array" ref="R151">IF($B151="","",IFERROR(IF(INDEX('01_UngVien_PhongVan'!$Q:$Q,MATCH($B151,'01_UngVien_PhongVan'!$B:$B,0))=0,"",INDEX('01_UngVien_PhongVan'!$Q:$Q,MATCH($B151,'01_UngVien_PhongVan'!$B:$B,0))),""))</f>
      </c>
      <c r="S151" s="60">
        <f t="array" ref="S151">IF($B151="","",IFERROR(IF(INDEX('01_UngVien_PhongVan'!$R:$R,MATCH($B151,'01_UngVien_PhongVan'!$B:$B,0))=0,"",INDEX('01_UngVien_PhongVan'!$R:$R,MATCH($B151,'01_UngVien_PhongVan'!$B:$B,0))),""))</f>
      </c>
      <c r="T151" s="60">
        <f t="array" ref="T151">IF($B151="","",IFERROR(IF(INDEX('01_UngVien_PhongVan'!$U:$U,MATCH($B151,'01_UngVien_PhongVan'!$B:$B,0))=0,"",INDEX('01_UngVien_PhongVan'!$U:$U,MATCH($B151,'01_UngVien_PhongVan'!$B:$B,0))),""))</f>
      </c>
      <c r="U151" s="73">
        <f t="array" ref="U151">IF($B151="","",IFERROR(IF(INDEX('01_UngVien_PhongVan'!$C:$C,MATCH($B151,'01_UngVien_PhongVan'!$B:$B,0))=0,"",INDEX('01_UngVien_PhongVan'!$C:$C,MATCH($B151,'01_UngVien_PhongVan'!$B:$B,0))),""))</f>
      </c>
      <c r="V151" s="73">
        <f t="array" ref="V151">IF($B151="","",IFERROR(IF(INDEX('02_DS_Nhan_Viec'!$D:$D,MATCH($B151,'02_DS_Nhan_Viec'!$B:$B,0))=0,"",INDEX('02_DS_Nhan_Viec'!$D:$D,MATCH($B151,'02_DS_Nhan_Viec'!$B:$B,0))),""))</f>
      </c>
      <c r="W151" s="73">
        <f t="array" ref="W151">IF($B151="","",IFERROR(IF(INDEX('02_DS_Nhan_Viec'!$E:$E,MATCH($B151,'02_DS_Nhan_Viec'!$B:$B,0))=0,"",INDEX('02_DS_Nhan_Viec'!$E:$E,MATCH($B151,'02_DS_Nhan_Viec'!$B:$B,0))),""))</f>
      </c>
      <c r="X151" s="73">
        <f t="array" ref="X151">IF($C151="","",IFERROR(IF(INDEX('05_Theo_Doi_Gio_Cong_7_Ngay'!$P:$P,MATCH($C151,'05_Theo_Doi_Gio_Cong_7_Ngay'!$B:$B,0))=0,"",INDEX('05_Theo_Doi_Gio_Cong_7_Ngay'!$P:$P,MATCH($C151,'05_Theo_Doi_Gio_Cong_7_Ngay'!$B:$B,0))),""))</f>
      </c>
      <c r="Y151" s="60">
        <f t="array" ref="Y151">IF($C151="","",IFERROR(IF(INDEX('05_Theo_Doi_Gio_Cong_7_Ngay'!$M:$M,MATCH($C151,'05_Theo_Doi_Gio_Cong_7_Ngay'!$B:$B,0))=0,"",INDEX('05_Theo_Doi_Gio_Cong_7_Ngay'!$M:$M,MATCH($C151,'05_Theo_Doi_Gio_Cong_7_Ngay'!$B:$B,0))),""))</f>
      </c>
      <c r="Z151" s="60">
        <f t="array" ref="Z151">IF($C151="","",IFERROR(IF(INDEX('05_Theo_Doi_Gio_Cong_7_Ngay'!$Q:$Q,MATCH($C151,'05_Theo_Doi_Gio_Cong_7_Ngay'!$B:$B,0))=0,"",INDEX('05_Theo_Doi_Gio_Cong_7_Ngay'!$Q:$Q,MATCH($C151,'05_Theo_Doi_Gio_Cong_7_Ngay'!$B:$B,0))),""))</f>
      </c>
      <c r="AA151" s="60">
        <f t="array" ref="AA151">IF($B151="","",IFERROR(IF(INDEX('02_DS_Nhan_Viec'!$H:$H,MATCH($B151,'02_DS_Nhan_Viec'!$B:$B,0))=0,"",INDEX('02_DS_Nhan_Viec'!$H:$H,MATCH($B151,'02_DS_Nhan_Viec'!$B:$B,0))),""))</f>
      </c>
      <c r="AB151" s="60">
        <f t="array" ref="AB151">IF($B151="","",IFERROR(IF(INDEX('02_DS_Nhan_Viec'!$I:$I,MATCH($B151,'02_DS_Nhan_Viec'!$B:$B,0))=0,"",INDEX('02_DS_Nhan_Viec'!$I:$I,MATCH($B151,'02_DS_Nhan_Viec'!$B:$B,0))),""))</f>
      </c>
      <c r="AC151" s="61">
        <f t="array" ref="AC151">IF($B151="","",IF($C151="","Đang theo dõi",IF(OR(IFERROR(INDEX('05_Theo_Doi_Gio_Cong_7_Ngay'!$R:$R,MATCH($C151,'05_Theo_Doi_Gio_Cong_7_Ngay'!$B:$B,0)),"")="",IFERROR(INDEX('05_Theo_Doi_Gio_Cong_7_Ngay'!$R:$R,MATCH($C151,'05_Theo_Doi_Gio_Cong_7_Ngay'!$B:$B,0)),0)=0),"Đang theo dõi",IFERROR(INDEX('06_DS_Chinh_Thuc'!$K:$K,MATCH(IFERROR(INDEX('05_Theo_Doi_Gio_Cong_7_Ngay'!$R:$R,MATCH($C151,'05_Theo_Doi_Gio_Cong_7_Ngay'!$B:$B,0)),0),'06_DS_Chinh_Thuc'!$B:$B,0)),"Đang theo dõi"))))</f>
      </c>
    </row>
    <row r="152" ht="14.25" customHeight="1" spans="1:7" x14ac:dyDescent="0.25">
      <c r="G152" s="62"/>
    </row>
    <row r="153" ht="14.25" customHeight="1" spans="1:7" x14ac:dyDescent="0.25">
      <c r="G153" s="62"/>
    </row>
    <row r="154" ht="14.25" customHeight="1" spans="1:7" x14ac:dyDescent="0.25">
      <c r="G154" s="62"/>
    </row>
    <row r="155" ht="14.25" customHeight="1" spans="1:7" x14ac:dyDescent="0.25">
      <c r="G155" s="62"/>
    </row>
    <row r="156" ht="14.25" customHeight="1" spans="1:7" x14ac:dyDescent="0.25">
      <c r="G156" s="62"/>
    </row>
    <row r="157" ht="14.25" customHeight="1" spans="1:7" x14ac:dyDescent="0.25">
      <c r="G157" s="62"/>
    </row>
    <row r="158" ht="14.25" customHeight="1" spans="1:7" x14ac:dyDescent="0.25">
      <c r="G158" s="62"/>
    </row>
    <row r="159" ht="14.25" customHeight="1" spans="1:7" x14ac:dyDescent="0.25">
      <c r="G159" s="62"/>
    </row>
    <row r="160" ht="14.25" customHeight="1" spans="1:7" x14ac:dyDescent="0.25">
      <c r="G160" s="62"/>
    </row>
    <row r="161" ht="14.25" customHeight="1" spans="1:7" x14ac:dyDescent="0.25">
      <c r="G161" s="62"/>
    </row>
    <row r="162" ht="14.25" customHeight="1" spans="1:7" x14ac:dyDescent="0.25">
      <c r="G162" s="62"/>
    </row>
    <row r="163" ht="14.25" customHeight="1" spans="1:7" x14ac:dyDescent="0.25">
      <c r="G163" s="62"/>
    </row>
    <row r="164" ht="14.25" customHeight="1" spans="1:7" x14ac:dyDescent="0.25">
      <c r="G164" s="62"/>
    </row>
    <row r="165" ht="14.25" customHeight="1" spans="1:7" x14ac:dyDescent="0.25">
      <c r="G165" s="62"/>
    </row>
    <row r="166" ht="14.25" customHeight="1" spans="1:7" x14ac:dyDescent="0.25">
      <c r="G166" s="62"/>
    </row>
    <row r="167" ht="14.25" customHeight="1" spans="1:7" x14ac:dyDescent="0.25">
      <c r="G167" s="62"/>
    </row>
    <row r="168" ht="14.25" customHeight="1" spans="1:7" x14ac:dyDescent="0.25">
      <c r="G168" s="62"/>
    </row>
    <row r="169" ht="14.25" customHeight="1" spans="1:7" x14ac:dyDescent="0.25">
      <c r="G169" s="62"/>
    </row>
    <row r="170" ht="14.25" customHeight="1" spans="1:7" x14ac:dyDescent="0.25">
      <c r="G170" s="62"/>
    </row>
    <row r="171" ht="14.25" customHeight="1" spans="1:7" x14ac:dyDescent="0.25">
      <c r="G171" s="62"/>
    </row>
    <row r="172" ht="14.25" customHeight="1" spans="1:7" x14ac:dyDescent="0.25">
      <c r="G172" s="62"/>
    </row>
    <row r="173" ht="14.25" customHeight="1" spans="1:7" x14ac:dyDescent="0.25">
      <c r="G173" s="62"/>
    </row>
    <row r="174" ht="14.25" customHeight="1" spans="1:7" x14ac:dyDescent="0.25">
      <c r="G174" s="62"/>
    </row>
    <row r="175" ht="14.25" customHeight="1" spans="1:7" x14ac:dyDescent="0.25">
      <c r="G175" s="62"/>
    </row>
    <row r="176" ht="14.25" customHeight="1" spans="1:7" x14ac:dyDescent="0.25">
      <c r="G176" s="62"/>
    </row>
    <row r="177" ht="14.25" customHeight="1" spans="1:7" x14ac:dyDescent="0.25">
      <c r="G177" s="62"/>
    </row>
    <row r="178" ht="14.25" customHeight="1" spans="1:7" x14ac:dyDescent="0.25">
      <c r="G178" s="62"/>
    </row>
    <row r="179" ht="14.25" customHeight="1" spans="1:7" x14ac:dyDescent="0.25">
      <c r="G179" s="62"/>
    </row>
    <row r="180" ht="14.25" customHeight="1" spans="1:7" x14ac:dyDescent="0.25">
      <c r="G180" s="62"/>
    </row>
    <row r="181" ht="14.25" customHeight="1" spans="1:7" x14ac:dyDescent="0.25">
      <c r="G181" s="62"/>
    </row>
    <row r="182" ht="14.25" customHeight="1" spans="1:7" x14ac:dyDescent="0.25">
      <c r="G182" s="62"/>
    </row>
    <row r="183" ht="14.25" customHeight="1" spans="1:7" x14ac:dyDescent="0.25">
      <c r="G183" s="62"/>
    </row>
    <row r="184" ht="14.25" customHeight="1" spans="1:7" x14ac:dyDescent="0.25">
      <c r="G184" s="62"/>
    </row>
    <row r="185" ht="14.25" customHeight="1" spans="1:7" x14ac:dyDescent="0.25">
      <c r="G185" s="62"/>
    </row>
    <row r="186" ht="14.25" customHeight="1" spans="1:7" x14ac:dyDescent="0.25">
      <c r="G186" s="62"/>
    </row>
    <row r="187" ht="14.25" customHeight="1" spans="1:7" x14ac:dyDescent="0.25">
      <c r="G187" s="62"/>
    </row>
    <row r="188" ht="14.25" customHeight="1" spans="1:7" x14ac:dyDescent="0.25">
      <c r="G188" s="62"/>
    </row>
    <row r="189" ht="14.25" customHeight="1" spans="1:7" x14ac:dyDescent="0.25">
      <c r="G189" s="62"/>
    </row>
    <row r="190" ht="14.25" customHeight="1" spans="1:7" x14ac:dyDescent="0.25">
      <c r="G190" s="62"/>
    </row>
    <row r="191" ht="14.25" customHeight="1" spans="1:7" x14ac:dyDescent="0.25">
      <c r="G191" s="62"/>
    </row>
    <row r="192" ht="14.25" customHeight="1" spans="1:7" x14ac:dyDescent="0.25">
      <c r="G192" s="62"/>
    </row>
    <row r="193" ht="14.25" customHeight="1" spans="1:7" x14ac:dyDescent="0.25">
      <c r="G193" s="62"/>
    </row>
    <row r="194" ht="14.25" customHeight="1" spans="1:7" x14ac:dyDescent="0.25">
      <c r="G194" s="62"/>
    </row>
    <row r="195" ht="14.25" customHeight="1" spans="1:7" x14ac:dyDescent="0.25">
      <c r="G195" s="62"/>
    </row>
    <row r="196" ht="14.25" customHeight="1" spans="1:7" x14ac:dyDescent="0.25">
      <c r="G196" s="62"/>
    </row>
    <row r="197" ht="14.25" customHeight="1" spans="1:7" x14ac:dyDescent="0.25">
      <c r="G197" s="62"/>
    </row>
    <row r="198" ht="14.25" customHeight="1" spans="1:7" x14ac:dyDescent="0.25">
      <c r="G198" s="62"/>
    </row>
    <row r="199" ht="14.25" customHeight="1" spans="1:7" x14ac:dyDescent="0.25">
      <c r="G199" s="62"/>
    </row>
    <row r="200" ht="14.25" customHeight="1" spans="1:7" x14ac:dyDescent="0.25">
      <c r="G200" s="62"/>
    </row>
    <row r="201" ht="14.25" customHeight="1" spans="1:7" x14ac:dyDescent="0.25">
      <c r="G201" s="62"/>
    </row>
    <row r="202" ht="14.25" customHeight="1" spans="1:7" x14ac:dyDescent="0.25">
      <c r="G202" s="62"/>
    </row>
    <row r="203" ht="14.25" customHeight="1" spans="1:7" x14ac:dyDescent="0.25">
      <c r="G203" s="62"/>
    </row>
    <row r="204" ht="14.25" customHeight="1" spans="1:7" x14ac:dyDescent="0.25">
      <c r="G204" s="62"/>
    </row>
    <row r="205" ht="14.25" customHeight="1" spans="1:7" x14ac:dyDescent="0.25">
      <c r="G205" s="62"/>
    </row>
    <row r="206" ht="14.25" customHeight="1" spans="1:7" x14ac:dyDescent="0.25">
      <c r="G206" s="62"/>
    </row>
    <row r="207" ht="14.25" customHeight="1" spans="1:7" x14ac:dyDescent="0.25">
      <c r="G207" s="62"/>
    </row>
    <row r="208" ht="14.25" customHeight="1" spans="1:7" x14ac:dyDescent="0.25">
      <c r="G208" s="62"/>
    </row>
    <row r="209" ht="14.25" customHeight="1" spans="1:7" x14ac:dyDescent="0.25">
      <c r="G209" s="62"/>
    </row>
    <row r="210" ht="14.25" customHeight="1" spans="1:7" x14ac:dyDescent="0.25">
      <c r="G210" s="62"/>
    </row>
    <row r="211" ht="14.25" customHeight="1" spans="1:7" x14ac:dyDescent="0.25">
      <c r="G211" s="62"/>
    </row>
    <row r="212" ht="14.25" customHeight="1" spans="1:7" x14ac:dyDescent="0.25">
      <c r="G212" s="62"/>
    </row>
    <row r="213" ht="14.25" customHeight="1" spans="1:7" x14ac:dyDescent="0.25">
      <c r="G213" s="62"/>
    </row>
    <row r="214" ht="14.25" customHeight="1" spans="1:7" x14ac:dyDescent="0.25">
      <c r="G214" s="62"/>
    </row>
    <row r="215" ht="14.25" customHeight="1" spans="1:7" x14ac:dyDescent="0.25">
      <c r="G215" s="62"/>
    </row>
    <row r="216" ht="14.25" customHeight="1" spans="1:7" x14ac:dyDescent="0.25">
      <c r="G216" s="62"/>
    </row>
    <row r="217" ht="14.25" customHeight="1" spans="1:7" x14ac:dyDescent="0.25">
      <c r="G217" s="62"/>
    </row>
    <row r="218" ht="14.25" customHeight="1" spans="1:7" x14ac:dyDescent="0.25">
      <c r="G218" s="62"/>
    </row>
    <row r="219" ht="14.25" customHeight="1" spans="1:7" x14ac:dyDescent="0.25">
      <c r="G219" s="62"/>
    </row>
    <row r="220" ht="14.25" customHeight="1" spans="1:7" x14ac:dyDescent="0.25">
      <c r="G220" s="62"/>
    </row>
    <row r="221" ht="14.25" customHeight="1" spans="1:7" x14ac:dyDescent="0.25">
      <c r="G221" s="62"/>
    </row>
    <row r="222" ht="14.25" customHeight="1" spans="1:7" x14ac:dyDescent="0.25">
      <c r="G222" s="62"/>
    </row>
    <row r="223" ht="14.25" customHeight="1" spans="1:7" x14ac:dyDescent="0.25">
      <c r="G223" s="62"/>
    </row>
    <row r="224" ht="14.25" customHeight="1" spans="1:7" x14ac:dyDescent="0.25">
      <c r="G224" s="62"/>
    </row>
    <row r="225" ht="14.25" customHeight="1" spans="1:7" x14ac:dyDescent="0.25">
      <c r="G225" s="62"/>
    </row>
    <row r="226" ht="14.25" customHeight="1" spans="1:7" x14ac:dyDescent="0.25">
      <c r="G226" s="62"/>
    </row>
    <row r="227" ht="14.25" customHeight="1" spans="1:7" x14ac:dyDescent="0.25">
      <c r="G227" s="62"/>
    </row>
    <row r="228" ht="14.25" customHeight="1" spans="1:7" x14ac:dyDescent="0.25">
      <c r="G228" s="62"/>
    </row>
    <row r="229" ht="14.25" customHeight="1" spans="1:7" x14ac:dyDescent="0.25">
      <c r="G229" s="62"/>
    </row>
    <row r="230" ht="14.25" customHeight="1" spans="1:7" x14ac:dyDescent="0.25">
      <c r="G230" s="62"/>
    </row>
    <row r="231" ht="14.25" customHeight="1" spans="1:7" x14ac:dyDescent="0.25">
      <c r="G231" s="62"/>
    </row>
    <row r="232" ht="14.25" customHeight="1" spans="1:7" x14ac:dyDescent="0.25">
      <c r="G232" s="62"/>
    </row>
    <row r="233" ht="14.25" customHeight="1" spans="1:7" x14ac:dyDescent="0.25">
      <c r="G233" s="62"/>
    </row>
    <row r="234" ht="14.25" customHeight="1" spans="1:7" x14ac:dyDescent="0.25">
      <c r="G234" s="62"/>
    </row>
    <row r="235" ht="14.25" customHeight="1" spans="1:7" x14ac:dyDescent="0.25">
      <c r="G235" s="62"/>
    </row>
    <row r="236" ht="14.25" customHeight="1" spans="1:7" x14ac:dyDescent="0.25">
      <c r="G236" s="62"/>
    </row>
    <row r="237" ht="14.25" customHeight="1" spans="1:7" x14ac:dyDescent="0.25">
      <c r="G237" s="62"/>
    </row>
    <row r="238" ht="14.25" customHeight="1" spans="1:7" x14ac:dyDescent="0.25">
      <c r="G238" s="62"/>
    </row>
    <row r="239" ht="14.25" customHeight="1" spans="1:7" x14ac:dyDescent="0.25">
      <c r="G239" s="62"/>
    </row>
    <row r="240" ht="14.25" customHeight="1" spans="1:7" x14ac:dyDescent="0.25">
      <c r="G240" s="62"/>
    </row>
    <row r="241" ht="14.25" customHeight="1" spans="1:7" x14ac:dyDescent="0.25">
      <c r="G241" s="62"/>
    </row>
    <row r="242" ht="14.25" customHeight="1" spans="1:7" x14ac:dyDescent="0.25">
      <c r="G242" s="62"/>
    </row>
    <row r="243" ht="14.25" customHeight="1" spans="1:7" x14ac:dyDescent="0.25">
      <c r="G243" s="62"/>
    </row>
    <row r="244" ht="14.25" customHeight="1" spans="1:7" x14ac:dyDescent="0.25">
      <c r="G244" s="62"/>
    </row>
    <row r="245" ht="14.25" customHeight="1" spans="1:7" x14ac:dyDescent="0.25">
      <c r="G245" s="62"/>
    </row>
    <row r="246" ht="14.25" customHeight="1" spans="1:7" x14ac:dyDescent="0.25">
      <c r="G246" s="62"/>
    </row>
    <row r="247" ht="14.25" customHeight="1" spans="1:7" x14ac:dyDescent="0.25">
      <c r="G247" s="62"/>
    </row>
    <row r="248" ht="14.25" customHeight="1" spans="1:7" x14ac:dyDescent="0.25">
      <c r="G248" s="62"/>
    </row>
    <row r="249" ht="14.25" customHeight="1" spans="1:7" x14ac:dyDescent="0.25">
      <c r="G249" s="62"/>
    </row>
    <row r="250" ht="14.25" customHeight="1" spans="1:7" x14ac:dyDescent="0.25">
      <c r="G250" s="62"/>
    </row>
    <row r="251" ht="14.25" customHeight="1" spans="1:7" x14ac:dyDescent="0.25">
      <c r="G251" s="62"/>
    </row>
    <row r="252" ht="14.25" customHeight="1" spans="1:7" x14ac:dyDescent="0.25">
      <c r="G252" s="62"/>
    </row>
    <row r="253" ht="14.25" customHeight="1" spans="1:7" x14ac:dyDescent="0.25">
      <c r="G253" s="62"/>
    </row>
    <row r="254" ht="14.25" customHeight="1" spans="1:7" x14ac:dyDescent="0.25">
      <c r="G254" s="62"/>
    </row>
    <row r="255" ht="14.25" customHeight="1" spans="1:7" x14ac:dyDescent="0.25">
      <c r="G255" s="62"/>
    </row>
    <row r="256" ht="14.25" customHeight="1" spans="1:7" x14ac:dyDescent="0.25">
      <c r="G256" s="62"/>
    </row>
    <row r="257" ht="14.25" customHeight="1" spans="1:7" x14ac:dyDescent="0.25">
      <c r="G257" s="62"/>
    </row>
    <row r="258" ht="14.25" customHeight="1" spans="1:7" x14ac:dyDescent="0.25">
      <c r="G258" s="62"/>
    </row>
    <row r="259" ht="14.25" customHeight="1" spans="1:7" x14ac:dyDescent="0.25">
      <c r="G259" s="62"/>
    </row>
    <row r="260" ht="14.25" customHeight="1" spans="1:7" x14ac:dyDescent="0.25">
      <c r="G260" s="62"/>
    </row>
    <row r="261" ht="14.25" customHeight="1" spans="1:7" x14ac:dyDescent="0.25">
      <c r="G261" s="62"/>
    </row>
    <row r="262" ht="14.25" customHeight="1" spans="1:7" x14ac:dyDescent="0.25">
      <c r="G262" s="62"/>
    </row>
    <row r="263" ht="14.25" customHeight="1" spans="1:7" x14ac:dyDescent="0.25">
      <c r="G263" s="62"/>
    </row>
    <row r="264" ht="14.25" customHeight="1" spans="1:7" x14ac:dyDescent="0.25">
      <c r="G264" s="62"/>
    </row>
    <row r="265" ht="14.25" customHeight="1" spans="1:7" x14ac:dyDescent="0.25">
      <c r="G265" s="62"/>
    </row>
    <row r="266" ht="14.25" customHeight="1" spans="1:7" x14ac:dyDescent="0.25">
      <c r="G266" s="62"/>
    </row>
    <row r="267" ht="14.25" customHeight="1" spans="1:7" x14ac:dyDescent="0.25">
      <c r="G267" s="62"/>
    </row>
    <row r="268" ht="14.25" customHeight="1" spans="1:7" x14ac:dyDescent="0.25">
      <c r="G268" s="62"/>
    </row>
    <row r="269" ht="14.25" customHeight="1" spans="1:7" x14ac:dyDescent="0.25">
      <c r="G269" s="62"/>
    </row>
    <row r="270" ht="14.25" customHeight="1" spans="1:7" x14ac:dyDescent="0.25">
      <c r="G270" s="62"/>
    </row>
    <row r="271" ht="14.25" customHeight="1" spans="1:7" x14ac:dyDescent="0.25">
      <c r="G271" s="62"/>
    </row>
    <row r="272" ht="14.25" customHeight="1" spans="1:7" x14ac:dyDescent="0.25">
      <c r="G272" s="62"/>
    </row>
    <row r="273" ht="14.25" customHeight="1" spans="1:7" x14ac:dyDescent="0.25">
      <c r="G273" s="62"/>
    </row>
    <row r="274" ht="14.25" customHeight="1" spans="1:7" x14ac:dyDescent="0.25">
      <c r="G274" s="62"/>
    </row>
    <row r="275" ht="14.25" customHeight="1" spans="1:7" x14ac:dyDescent="0.25">
      <c r="G275" s="62"/>
    </row>
    <row r="276" ht="14.25" customHeight="1" spans="1:7" x14ac:dyDescent="0.25">
      <c r="G276" s="62"/>
    </row>
    <row r="277" ht="14.25" customHeight="1" spans="1:7" x14ac:dyDescent="0.25">
      <c r="G277" s="62"/>
    </row>
    <row r="278" ht="14.25" customHeight="1" spans="1:7" x14ac:dyDescent="0.25">
      <c r="G278" s="62"/>
    </row>
    <row r="279" ht="14.25" customHeight="1" spans="1:7" x14ac:dyDescent="0.25">
      <c r="G279" s="62"/>
    </row>
    <row r="280" ht="14.25" customHeight="1" spans="1:7" x14ac:dyDescent="0.25">
      <c r="G280" s="62"/>
    </row>
    <row r="281" ht="14.25" customHeight="1" spans="1:7" x14ac:dyDescent="0.25">
      <c r="G281" s="62"/>
    </row>
    <row r="282" ht="14.25" customHeight="1" spans="1:7" x14ac:dyDescent="0.25">
      <c r="G282" s="62"/>
    </row>
    <row r="283" ht="14.25" customHeight="1" spans="1:7" x14ac:dyDescent="0.25">
      <c r="G283" s="62"/>
    </row>
    <row r="284" ht="14.25" customHeight="1" spans="1:7" x14ac:dyDescent="0.25">
      <c r="G284" s="62"/>
    </row>
    <row r="285" ht="14.25" customHeight="1" spans="1:7" x14ac:dyDescent="0.25">
      <c r="G285" s="62"/>
    </row>
    <row r="286" ht="14.25" customHeight="1" spans="1:7" x14ac:dyDescent="0.25">
      <c r="G286" s="62"/>
    </row>
    <row r="287" ht="14.25" customHeight="1" spans="1:7" x14ac:dyDescent="0.25">
      <c r="G287" s="62"/>
    </row>
    <row r="288" ht="14.25" customHeight="1" spans="1:7" x14ac:dyDescent="0.25">
      <c r="G288" s="62"/>
    </row>
    <row r="289" ht="14.25" customHeight="1" spans="1:7" x14ac:dyDescent="0.25">
      <c r="G289" s="62"/>
    </row>
    <row r="290" ht="14.25" customHeight="1" spans="1:7" x14ac:dyDescent="0.25">
      <c r="G290" s="62"/>
    </row>
    <row r="291" ht="14.25" customHeight="1" spans="1:7" x14ac:dyDescent="0.25">
      <c r="G291" s="62"/>
    </row>
    <row r="292" ht="14.25" customHeight="1" spans="1:7" x14ac:dyDescent="0.25">
      <c r="G292" s="62"/>
    </row>
    <row r="293" ht="14.25" customHeight="1" spans="1:7" x14ac:dyDescent="0.25">
      <c r="G293" s="62"/>
    </row>
    <row r="294" ht="14.25" customHeight="1" spans="1:7" x14ac:dyDescent="0.25">
      <c r="G294" s="62"/>
    </row>
    <row r="295" ht="14.25" customHeight="1" spans="1:7" x14ac:dyDescent="0.25">
      <c r="G295" s="62"/>
    </row>
    <row r="296" ht="14.25" customHeight="1" spans="1:7" x14ac:dyDescent="0.25">
      <c r="G296" s="62"/>
    </row>
    <row r="297" ht="14.25" customHeight="1" spans="1:7" x14ac:dyDescent="0.25">
      <c r="G297" s="62"/>
    </row>
    <row r="298" ht="14.25" customHeight="1" spans="1:7" x14ac:dyDescent="0.25">
      <c r="G298" s="62"/>
    </row>
    <row r="299" ht="14.25" customHeight="1" spans="1:7" x14ac:dyDescent="0.25">
      <c r="G299" s="62"/>
    </row>
    <row r="300" ht="14.25" customHeight="1" spans="1:7" x14ac:dyDescent="0.25">
      <c r="G300" s="62"/>
    </row>
    <row r="301" ht="14.25" customHeight="1" spans="1:7" x14ac:dyDescent="0.25">
      <c r="G301" s="62"/>
    </row>
    <row r="302" ht="14.25" customHeight="1" spans="1:7" x14ac:dyDescent="0.25">
      <c r="G302" s="62"/>
    </row>
    <row r="303" ht="14.25" customHeight="1" spans="1:7" x14ac:dyDescent="0.25">
      <c r="G303" s="62"/>
    </row>
    <row r="304" ht="14.25" customHeight="1" spans="1:7" x14ac:dyDescent="0.25">
      <c r="G304" s="62"/>
    </row>
    <row r="305" ht="14.25" customHeight="1" spans="1:7" x14ac:dyDescent="0.25">
      <c r="G305" s="62"/>
    </row>
    <row r="306" ht="14.25" customHeight="1" spans="1:7" x14ac:dyDescent="0.25">
      <c r="G306" s="62"/>
    </row>
    <row r="307" ht="14.25" customHeight="1" spans="1:7" x14ac:dyDescent="0.25">
      <c r="G307" s="62"/>
    </row>
    <row r="308" ht="14.25" customHeight="1" spans="1:7" x14ac:dyDescent="0.25">
      <c r="G308" s="62"/>
    </row>
    <row r="309" ht="14.25" customHeight="1" spans="1:7" x14ac:dyDescent="0.25">
      <c r="G309" s="62"/>
    </row>
    <row r="310" ht="14.25" customHeight="1" spans="1:7" x14ac:dyDescent="0.25">
      <c r="G310" s="62"/>
    </row>
    <row r="311" ht="14.25" customHeight="1" spans="1:7" x14ac:dyDescent="0.25">
      <c r="G311" s="62"/>
    </row>
    <row r="312" ht="14.25" customHeight="1" spans="1:7" x14ac:dyDescent="0.25">
      <c r="G312" s="62"/>
    </row>
    <row r="313" ht="14.25" customHeight="1" spans="1:7" x14ac:dyDescent="0.25">
      <c r="G313" s="62"/>
    </row>
    <row r="314" ht="14.25" customHeight="1" spans="1:7" x14ac:dyDescent="0.25">
      <c r="G314" s="62"/>
    </row>
    <row r="315" ht="14.25" customHeight="1" spans="1:7" x14ac:dyDescent="0.25">
      <c r="G315" s="62"/>
    </row>
    <row r="316" ht="14.25" customHeight="1" spans="1:7" x14ac:dyDescent="0.25">
      <c r="G316" s="62"/>
    </row>
    <row r="317" ht="14.25" customHeight="1" spans="1:7" x14ac:dyDescent="0.25">
      <c r="G317" s="62"/>
    </row>
    <row r="318" ht="14.25" customHeight="1" spans="1:7" x14ac:dyDescent="0.25">
      <c r="G318" s="62"/>
    </row>
    <row r="319" ht="14.25" customHeight="1" spans="1:7" x14ac:dyDescent="0.25">
      <c r="G319" s="62"/>
    </row>
    <row r="320" ht="14.25" customHeight="1" spans="1:7" x14ac:dyDescent="0.25">
      <c r="G320" s="62"/>
    </row>
    <row r="321" ht="14.25" customHeight="1" spans="1:7" x14ac:dyDescent="0.25">
      <c r="G321" s="62"/>
    </row>
    <row r="322" ht="14.25" customHeight="1" spans="1:7" x14ac:dyDescent="0.25">
      <c r="G322" s="62"/>
    </row>
    <row r="323" ht="14.25" customHeight="1" spans="1:7" x14ac:dyDescent="0.25">
      <c r="G323" s="62"/>
    </row>
    <row r="324" ht="14.25" customHeight="1" spans="1:7" x14ac:dyDescent="0.25">
      <c r="G324" s="62"/>
    </row>
    <row r="325" ht="14.25" customHeight="1" spans="1:7" x14ac:dyDescent="0.25">
      <c r="G325" s="62"/>
    </row>
    <row r="326" ht="14.25" customHeight="1" spans="1:7" x14ac:dyDescent="0.25">
      <c r="G326" s="62"/>
    </row>
    <row r="327" ht="14.25" customHeight="1" spans="1:7" x14ac:dyDescent="0.25">
      <c r="G327" s="62"/>
    </row>
    <row r="328" ht="14.25" customHeight="1" spans="1:7" x14ac:dyDescent="0.25">
      <c r="G328" s="62"/>
    </row>
    <row r="329" ht="14.25" customHeight="1" spans="1:7" x14ac:dyDescent="0.25">
      <c r="G329" s="62"/>
    </row>
    <row r="330" ht="14.25" customHeight="1" spans="1:7" x14ac:dyDescent="0.25">
      <c r="G330" s="62"/>
    </row>
    <row r="331" ht="14.25" customHeight="1" spans="1:7" x14ac:dyDescent="0.25">
      <c r="G331" s="62"/>
    </row>
    <row r="332" ht="14.25" customHeight="1" spans="1:7" x14ac:dyDescent="0.25">
      <c r="G332" s="62"/>
    </row>
    <row r="333" ht="14.25" customHeight="1" spans="1:7" x14ac:dyDescent="0.25">
      <c r="G333" s="62"/>
    </row>
    <row r="334" ht="14.25" customHeight="1" spans="1:7" x14ac:dyDescent="0.25">
      <c r="G334" s="62"/>
    </row>
    <row r="335" ht="14.25" customHeight="1" spans="1:7" x14ac:dyDescent="0.25">
      <c r="G335" s="62"/>
    </row>
    <row r="336" ht="14.25" customHeight="1" spans="1:7" x14ac:dyDescent="0.25">
      <c r="G336" s="62"/>
    </row>
    <row r="337" ht="14.25" customHeight="1" spans="1:7" x14ac:dyDescent="0.25">
      <c r="G337" s="62"/>
    </row>
    <row r="338" ht="14.25" customHeight="1" spans="1:7" x14ac:dyDescent="0.25">
      <c r="G338" s="62"/>
    </row>
    <row r="339" ht="14.25" customHeight="1" spans="1:7" x14ac:dyDescent="0.25">
      <c r="G339" s="62"/>
    </row>
    <row r="340" ht="14.25" customHeight="1" spans="1:7" x14ac:dyDescent="0.25">
      <c r="G340" s="62"/>
    </row>
    <row r="341" ht="14.25" customHeight="1" spans="1:7" x14ac:dyDescent="0.25">
      <c r="G341" s="62"/>
    </row>
    <row r="342" ht="14.25" customHeight="1" spans="1:7" x14ac:dyDescent="0.25">
      <c r="G342" s="62"/>
    </row>
    <row r="343" ht="14.25" customHeight="1" spans="1:7" x14ac:dyDescent="0.25">
      <c r="G343" s="62"/>
    </row>
    <row r="344" ht="14.25" customHeight="1" spans="1:7" x14ac:dyDescent="0.25">
      <c r="G344" s="62"/>
    </row>
    <row r="345" ht="14.25" customHeight="1" spans="1:7" x14ac:dyDescent="0.25">
      <c r="G345" s="62"/>
    </row>
    <row r="346" ht="14.25" customHeight="1" spans="1:7" x14ac:dyDescent="0.25">
      <c r="G346" s="62"/>
    </row>
    <row r="347" ht="14.25" customHeight="1" spans="1:7" x14ac:dyDescent="0.25">
      <c r="G347" s="62"/>
    </row>
    <row r="348" ht="14.25" customHeight="1" spans="1:7" x14ac:dyDescent="0.25">
      <c r="G348" s="62"/>
    </row>
    <row r="349" ht="14.25" customHeight="1" spans="1:7" x14ac:dyDescent="0.25">
      <c r="G349" s="62"/>
    </row>
    <row r="350" ht="14.25" customHeight="1" spans="1:7" x14ac:dyDescent="0.25">
      <c r="G350" s="62"/>
    </row>
    <row r="351" ht="14.25" customHeight="1" spans="1:7" x14ac:dyDescent="0.25">
      <c r="G351" s="62"/>
    </row>
    <row r="352" ht="14.25" customHeight="1" spans="1:7" x14ac:dyDescent="0.25">
      <c r="G352" s="62"/>
    </row>
    <row r="353" ht="14.25" customHeight="1" spans="1:7" x14ac:dyDescent="0.25">
      <c r="G353" s="62"/>
    </row>
    <row r="354" ht="14.25" customHeight="1" spans="1:7" x14ac:dyDescent="0.25">
      <c r="G354" s="62"/>
    </row>
    <row r="355" ht="14.25" customHeight="1" spans="1:7" x14ac:dyDescent="0.25">
      <c r="G355" s="62"/>
    </row>
    <row r="356" ht="14.25" customHeight="1" spans="1:7" x14ac:dyDescent="0.25">
      <c r="G356" s="62"/>
    </row>
    <row r="357" ht="14.25" customHeight="1" spans="1:7" x14ac:dyDescent="0.25">
      <c r="G357" s="62"/>
    </row>
    <row r="358" ht="14.25" customHeight="1" spans="1:7" x14ac:dyDescent="0.25">
      <c r="G358" s="62"/>
    </row>
    <row r="359" ht="14.25" customHeight="1" spans="1:7" x14ac:dyDescent="0.25">
      <c r="G359" s="62"/>
    </row>
    <row r="360" ht="14.25" customHeight="1" spans="1:7" x14ac:dyDescent="0.25">
      <c r="G360" s="62"/>
    </row>
    <row r="361" ht="14.25" customHeight="1" spans="1:7" x14ac:dyDescent="0.25">
      <c r="G361" s="62"/>
    </row>
    <row r="362" ht="14.25" customHeight="1" spans="1:7" x14ac:dyDescent="0.25">
      <c r="G362" s="62"/>
    </row>
    <row r="363" ht="14.25" customHeight="1" spans="1:7" x14ac:dyDescent="0.25">
      <c r="G363" s="62"/>
    </row>
    <row r="364" ht="14.25" customHeight="1" spans="1:7" x14ac:dyDescent="0.25">
      <c r="G364" s="62"/>
    </row>
    <row r="365" ht="14.25" customHeight="1" spans="1:7" x14ac:dyDescent="0.25">
      <c r="G365" s="62"/>
    </row>
    <row r="366" ht="14.25" customHeight="1" spans="1:7" x14ac:dyDescent="0.25">
      <c r="G366" s="62"/>
    </row>
    <row r="367" ht="14.25" customHeight="1" spans="1:7" x14ac:dyDescent="0.25">
      <c r="G367" s="62"/>
    </row>
    <row r="368" ht="14.25" customHeight="1" spans="1:7" x14ac:dyDescent="0.25">
      <c r="G368" s="62"/>
    </row>
    <row r="369" ht="14.25" customHeight="1" spans="1:7" x14ac:dyDescent="0.25">
      <c r="G369" s="62"/>
    </row>
    <row r="370" ht="14.25" customHeight="1" spans="1:7" x14ac:dyDescent="0.25">
      <c r="G370" s="62"/>
    </row>
    <row r="371" ht="14.25" customHeight="1" spans="1:7" x14ac:dyDescent="0.25">
      <c r="G371" s="62"/>
    </row>
    <row r="372" ht="14.25" customHeight="1" spans="1:7" x14ac:dyDescent="0.25">
      <c r="G372" s="62"/>
    </row>
    <row r="373" ht="14.25" customHeight="1" spans="1:7" x14ac:dyDescent="0.25">
      <c r="G373" s="62"/>
    </row>
    <row r="374" ht="14.25" customHeight="1" spans="1:7" x14ac:dyDescent="0.25">
      <c r="G374" s="62"/>
    </row>
    <row r="375" ht="14.25" customHeight="1" spans="1:7" x14ac:dyDescent="0.25">
      <c r="G375" s="62"/>
    </row>
    <row r="376" ht="14.25" customHeight="1" spans="1:7" x14ac:dyDescent="0.25">
      <c r="G376" s="62"/>
    </row>
    <row r="377" ht="14.25" customHeight="1" spans="1:7" x14ac:dyDescent="0.25">
      <c r="G377" s="62"/>
    </row>
    <row r="378" ht="14.25" customHeight="1" spans="1:7" x14ac:dyDescent="0.25">
      <c r="G378" s="62"/>
    </row>
    <row r="379" ht="14.25" customHeight="1" spans="1:7" x14ac:dyDescent="0.25">
      <c r="G379" s="62"/>
    </row>
    <row r="380" ht="14.25" customHeight="1" spans="1:7" x14ac:dyDescent="0.25">
      <c r="G380" s="62"/>
    </row>
    <row r="381" ht="14.25" customHeight="1" spans="1:7" x14ac:dyDescent="0.25">
      <c r="G381" s="62"/>
    </row>
    <row r="382" ht="14.25" customHeight="1" spans="1:7" x14ac:dyDescent="0.25">
      <c r="G382" s="62"/>
    </row>
    <row r="383" ht="14.25" customHeight="1" spans="1:7" x14ac:dyDescent="0.25">
      <c r="G383" s="62"/>
    </row>
    <row r="384" ht="14.25" customHeight="1" spans="1:7" x14ac:dyDescent="0.25">
      <c r="G384" s="62"/>
    </row>
    <row r="385" ht="14.25" customHeight="1" spans="1:7" x14ac:dyDescent="0.25">
      <c r="G385" s="62"/>
    </row>
    <row r="386" ht="14.25" customHeight="1" spans="1:7" x14ac:dyDescent="0.25">
      <c r="G386" s="62"/>
    </row>
    <row r="387" ht="14.25" customHeight="1" spans="1:7" x14ac:dyDescent="0.25">
      <c r="G387" s="62"/>
    </row>
    <row r="388" ht="14.25" customHeight="1" spans="1:7" x14ac:dyDescent="0.25">
      <c r="G388" s="62"/>
    </row>
    <row r="389" ht="14.25" customHeight="1" spans="1:7" x14ac:dyDescent="0.25">
      <c r="G389" s="62"/>
    </row>
    <row r="390" ht="14.25" customHeight="1" spans="1:7" x14ac:dyDescent="0.25">
      <c r="G390" s="62"/>
    </row>
    <row r="391" ht="14.25" customHeight="1" spans="1:7" x14ac:dyDescent="0.25">
      <c r="G391" s="62"/>
    </row>
    <row r="392" ht="14.25" customHeight="1" spans="1:7" x14ac:dyDescent="0.25">
      <c r="G392" s="62"/>
    </row>
    <row r="393" ht="14.25" customHeight="1" spans="1:7" x14ac:dyDescent="0.25">
      <c r="G393" s="62"/>
    </row>
    <row r="394" ht="14.25" customHeight="1" spans="1:7" x14ac:dyDescent="0.25">
      <c r="G394" s="62"/>
    </row>
    <row r="395" ht="14.25" customHeight="1" spans="1:7" x14ac:dyDescent="0.25">
      <c r="G395" s="62"/>
    </row>
    <row r="396" ht="14.25" customHeight="1" spans="1:7" x14ac:dyDescent="0.25">
      <c r="G396" s="62"/>
    </row>
    <row r="397" ht="14.25" customHeight="1" spans="1:7" x14ac:dyDescent="0.25">
      <c r="G397" s="62"/>
    </row>
    <row r="398" ht="14.25" customHeight="1" spans="1:7" x14ac:dyDescent="0.25">
      <c r="G398" s="62"/>
    </row>
    <row r="399" ht="14.25" customHeight="1" spans="1:7" x14ac:dyDescent="0.25">
      <c r="G399" s="62"/>
    </row>
    <row r="400" ht="14.25" customHeight="1" spans="1:7" x14ac:dyDescent="0.25">
      <c r="G400" s="62"/>
    </row>
    <row r="401" ht="14.25" customHeight="1" spans="1:7" x14ac:dyDescent="0.25">
      <c r="G401" s="62"/>
    </row>
    <row r="402" ht="14.25" customHeight="1" spans="1:7" x14ac:dyDescent="0.25">
      <c r="G402" s="62"/>
    </row>
    <row r="403" ht="14.25" customHeight="1" spans="1:7" x14ac:dyDescent="0.25">
      <c r="G403" s="62"/>
    </row>
    <row r="404" ht="14.25" customHeight="1" spans="1:7" x14ac:dyDescent="0.25">
      <c r="G404" s="62"/>
    </row>
    <row r="405" ht="14.25" customHeight="1" spans="1:7" x14ac:dyDescent="0.25">
      <c r="G405" s="62"/>
    </row>
    <row r="406" ht="14.25" customHeight="1" spans="1:7" x14ac:dyDescent="0.25">
      <c r="G406" s="62"/>
    </row>
    <row r="407" ht="14.25" customHeight="1" spans="1:7" x14ac:dyDescent="0.25">
      <c r="G407" s="62"/>
    </row>
    <row r="408" ht="14.25" customHeight="1" spans="1:7" x14ac:dyDescent="0.25">
      <c r="G408" s="62"/>
    </row>
    <row r="409" ht="14.25" customHeight="1" spans="1:7" x14ac:dyDescent="0.25">
      <c r="G409" s="62"/>
    </row>
    <row r="410" ht="14.25" customHeight="1" spans="1:7" x14ac:dyDescent="0.25">
      <c r="G410" s="62"/>
    </row>
    <row r="411" ht="14.25" customHeight="1" spans="1:7" x14ac:dyDescent="0.25">
      <c r="G411" s="62"/>
    </row>
    <row r="412" ht="14.25" customHeight="1" spans="1:7" x14ac:dyDescent="0.25">
      <c r="G412" s="62"/>
    </row>
    <row r="413" ht="14.25" customHeight="1" spans="1:7" x14ac:dyDescent="0.25">
      <c r="G413" s="62"/>
    </row>
    <row r="414" ht="14.25" customHeight="1" spans="1:7" x14ac:dyDescent="0.25">
      <c r="G414" s="62"/>
    </row>
    <row r="415" ht="14.25" customHeight="1" spans="1:7" x14ac:dyDescent="0.25">
      <c r="G415" s="62"/>
    </row>
    <row r="416" ht="14.25" customHeight="1" spans="1:7" x14ac:dyDescent="0.25">
      <c r="G416" s="62"/>
    </row>
    <row r="417" ht="14.25" customHeight="1" spans="1:7" x14ac:dyDescent="0.25">
      <c r="G417" s="62"/>
    </row>
    <row r="418" ht="14.25" customHeight="1" spans="1:7" x14ac:dyDescent="0.25">
      <c r="G418" s="62"/>
    </row>
    <row r="419" ht="14.25" customHeight="1" spans="1:7" x14ac:dyDescent="0.25">
      <c r="G419" s="62"/>
    </row>
    <row r="420" ht="14.25" customHeight="1" spans="1:7" x14ac:dyDescent="0.25">
      <c r="G420" s="62"/>
    </row>
    <row r="421" ht="14.25" customHeight="1" spans="1:7" x14ac:dyDescent="0.25">
      <c r="G421" s="62"/>
    </row>
    <row r="422" ht="14.25" customHeight="1" spans="1:7" x14ac:dyDescent="0.25">
      <c r="G422" s="62"/>
    </row>
    <row r="423" ht="14.25" customHeight="1" spans="1:7" x14ac:dyDescent="0.25">
      <c r="G423" s="62"/>
    </row>
    <row r="424" ht="14.25" customHeight="1" spans="1:7" x14ac:dyDescent="0.25">
      <c r="G424" s="62"/>
    </row>
    <row r="425" ht="14.25" customHeight="1" spans="1:7" x14ac:dyDescent="0.25">
      <c r="G425" s="62"/>
    </row>
    <row r="426" ht="14.25" customHeight="1" spans="1:7" x14ac:dyDescent="0.25">
      <c r="G426" s="62"/>
    </row>
    <row r="427" ht="14.25" customHeight="1" spans="1:7" x14ac:dyDescent="0.25">
      <c r="G427" s="62"/>
    </row>
    <row r="428" ht="14.25" customHeight="1" spans="1:7" x14ac:dyDescent="0.25">
      <c r="G428" s="62"/>
    </row>
    <row r="429" ht="14.25" customHeight="1" spans="1:7" x14ac:dyDescent="0.25">
      <c r="G429" s="62"/>
    </row>
    <row r="430" ht="14.25" customHeight="1" spans="1:7" x14ac:dyDescent="0.25">
      <c r="G430" s="62"/>
    </row>
    <row r="431" ht="14.25" customHeight="1" spans="1:7" x14ac:dyDescent="0.25">
      <c r="G431" s="62"/>
    </row>
    <row r="432" ht="14.25" customHeight="1" spans="1:7" x14ac:dyDescent="0.25">
      <c r="G432" s="62"/>
    </row>
    <row r="433" ht="14.25" customHeight="1" spans="1:7" x14ac:dyDescent="0.25">
      <c r="G433" s="62"/>
    </row>
    <row r="434" ht="14.25" customHeight="1" spans="1:7" x14ac:dyDescent="0.25">
      <c r="G434" s="62"/>
    </row>
    <row r="435" ht="14.25" customHeight="1" spans="1:7" x14ac:dyDescent="0.25">
      <c r="G435" s="62"/>
    </row>
    <row r="436" ht="14.25" customHeight="1" spans="1:7" x14ac:dyDescent="0.25">
      <c r="G436" s="62"/>
    </row>
    <row r="437" ht="14.25" customHeight="1" spans="1:7" x14ac:dyDescent="0.25">
      <c r="G437" s="62"/>
    </row>
    <row r="438" ht="14.25" customHeight="1" spans="1:7" x14ac:dyDescent="0.25">
      <c r="G438" s="62"/>
    </row>
    <row r="439" ht="14.25" customHeight="1" spans="1:7" x14ac:dyDescent="0.25">
      <c r="G439" s="62"/>
    </row>
    <row r="440" ht="14.25" customHeight="1" spans="1:7" x14ac:dyDescent="0.25">
      <c r="G440" s="62"/>
    </row>
    <row r="441" ht="14.25" customHeight="1" spans="1:7" x14ac:dyDescent="0.25">
      <c r="G441" s="62"/>
    </row>
    <row r="442" ht="14.25" customHeight="1" spans="1:7" x14ac:dyDescent="0.25">
      <c r="G442" s="62"/>
    </row>
    <row r="443" ht="14.25" customHeight="1" spans="1:7" x14ac:dyDescent="0.25">
      <c r="G443" s="62"/>
    </row>
    <row r="444" ht="14.25" customHeight="1" spans="1:7" x14ac:dyDescent="0.25">
      <c r="G444" s="62"/>
    </row>
    <row r="445" ht="14.25" customHeight="1" spans="1:7" x14ac:dyDescent="0.25">
      <c r="G445" s="62"/>
    </row>
    <row r="446" ht="14.25" customHeight="1" spans="1:7" x14ac:dyDescent="0.25">
      <c r="G446" s="62"/>
    </row>
    <row r="447" ht="14.25" customHeight="1" spans="1:7" x14ac:dyDescent="0.25">
      <c r="G447" s="62"/>
    </row>
    <row r="448" ht="14.25" customHeight="1" spans="1:7" x14ac:dyDescent="0.25">
      <c r="G448" s="62"/>
    </row>
    <row r="449" ht="14.25" customHeight="1" spans="1:7" x14ac:dyDescent="0.25">
      <c r="G449" s="62"/>
    </row>
    <row r="450" ht="14.25" customHeight="1" spans="1:7" x14ac:dyDescent="0.25">
      <c r="G450" s="62"/>
    </row>
    <row r="451" ht="14.25" customHeight="1" spans="1:7" x14ac:dyDescent="0.25">
      <c r="G451" s="62"/>
    </row>
    <row r="452" ht="14.25" customHeight="1" spans="1:7" x14ac:dyDescent="0.25">
      <c r="G452" s="62"/>
    </row>
    <row r="453" ht="14.25" customHeight="1" spans="1:7" x14ac:dyDescent="0.25">
      <c r="G453" s="62"/>
    </row>
    <row r="454" ht="14.25" customHeight="1" spans="1:7" x14ac:dyDescent="0.25">
      <c r="G454" s="62"/>
    </row>
    <row r="455" ht="14.25" customHeight="1" spans="1:7" x14ac:dyDescent="0.25">
      <c r="G455" s="62"/>
    </row>
    <row r="456" ht="14.25" customHeight="1" spans="1:7" x14ac:dyDescent="0.25">
      <c r="G456" s="62"/>
    </row>
    <row r="457" ht="14.25" customHeight="1" spans="1:7" x14ac:dyDescent="0.25">
      <c r="G457" s="62"/>
    </row>
    <row r="458" ht="14.25" customHeight="1" spans="1:7" x14ac:dyDescent="0.25">
      <c r="G458" s="62"/>
    </row>
    <row r="459" ht="14.25" customHeight="1" spans="1:7" x14ac:dyDescent="0.25">
      <c r="G459" s="62"/>
    </row>
    <row r="460" ht="14.25" customHeight="1" spans="1:7" x14ac:dyDescent="0.25">
      <c r="G460" s="62"/>
    </row>
    <row r="461" ht="14.25" customHeight="1" spans="1:7" x14ac:dyDescent="0.25">
      <c r="G461" s="62"/>
    </row>
    <row r="462" ht="14.25" customHeight="1" spans="1:7" x14ac:dyDescent="0.25">
      <c r="G462" s="62"/>
    </row>
    <row r="463" ht="14.25" customHeight="1" spans="1:7" x14ac:dyDescent="0.25">
      <c r="G463" s="62"/>
    </row>
    <row r="464" ht="14.25" customHeight="1" spans="1:7" x14ac:dyDescent="0.25">
      <c r="G464" s="62"/>
    </row>
    <row r="465" ht="14.25" customHeight="1" spans="1:7" x14ac:dyDescent="0.25">
      <c r="G465" s="62"/>
    </row>
    <row r="466" ht="14.25" customHeight="1" spans="1:7" x14ac:dyDescent="0.25">
      <c r="G466" s="62"/>
    </row>
    <row r="467" ht="14.25" customHeight="1" spans="1:7" x14ac:dyDescent="0.25">
      <c r="G467" s="62"/>
    </row>
    <row r="468" ht="14.25" customHeight="1" spans="1:7" x14ac:dyDescent="0.25">
      <c r="G468" s="62"/>
    </row>
    <row r="469" ht="14.25" customHeight="1" spans="1:7" x14ac:dyDescent="0.25">
      <c r="G469" s="62"/>
    </row>
    <row r="470" ht="14.25" customHeight="1" spans="1:7" x14ac:dyDescent="0.25">
      <c r="G470" s="62"/>
    </row>
    <row r="471" ht="14.25" customHeight="1" spans="1:7" x14ac:dyDescent="0.25">
      <c r="G471" s="62"/>
    </row>
    <row r="472" ht="14.25" customHeight="1" spans="1:7" x14ac:dyDescent="0.25">
      <c r="G472" s="62"/>
    </row>
    <row r="473" ht="14.25" customHeight="1" spans="1:7" x14ac:dyDescent="0.25">
      <c r="G473" s="62"/>
    </row>
    <row r="474" ht="14.25" customHeight="1" spans="1:7" x14ac:dyDescent="0.25">
      <c r="G474" s="62"/>
    </row>
    <row r="475" ht="14.25" customHeight="1" spans="1:7" x14ac:dyDescent="0.25">
      <c r="G475" s="62"/>
    </row>
    <row r="476" ht="14.25" customHeight="1" spans="1:7" x14ac:dyDescent="0.25">
      <c r="G476" s="62"/>
    </row>
    <row r="477" ht="14.25" customHeight="1" spans="1:7" x14ac:dyDescent="0.25">
      <c r="G477" s="62"/>
    </row>
    <row r="478" ht="14.25" customHeight="1" spans="1:7" x14ac:dyDescent="0.25">
      <c r="G478" s="62"/>
    </row>
    <row r="479" ht="14.25" customHeight="1" spans="1:7" x14ac:dyDescent="0.25">
      <c r="G479" s="62"/>
    </row>
    <row r="480" ht="14.25" customHeight="1" spans="1:7" x14ac:dyDescent="0.25">
      <c r="G480" s="62"/>
    </row>
    <row r="481" ht="14.25" customHeight="1" spans="1:7" x14ac:dyDescent="0.25">
      <c r="G481" s="62"/>
    </row>
    <row r="482" ht="14.25" customHeight="1" spans="1:7" x14ac:dyDescent="0.25">
      <c r="G482" s="62"/>
    </row>
    <row r="483" ht="14.25" customHeight="1" spans="1:7" x14ac:dyDescent="0.25">
      <c r="G483" s="62"/>
    </row>
    <row r="484" ht="14.25" customHeight="1" spans="1:7" x14ac:dyDescent="0.25">
      <c r="G484" s="62"/>
    </row>
    <row r="485" ht="14.25" customHeight="1" spans="1:7" x14ac:dyDescent="0.25">
      <c r="G485" s="62"/>
    </row>
    <row r="486" ht="14.25" customHeight="1" spans="1:7" x14ac:dyDescent="0.25">
      <c r="G486" s="62"/>
    </row>
    <row r="487" ht="14.25" customHeight="1" spans="1:7" x14ac:dyDescent="0.25">
      <c r="G487" s="62"/>
    </row>
    <row r="488" ht="14.25" customHeight="1" spans="1:7" x14ac:dyDescent="0.25">
      <c r="G488" s="62"/>
    </row>
    <row r="489" ht="14.25" customHeight="1" spans="1:7" x14ac:dyDescent="0.25">
      <c r="G489" s="62"/>
    </row>
    <row r="490" ht="14.25" customHeight="1" spans="1:7" x14ac:dyDescent="0.25">
      <c r="G490" s="62"/>
    </row>
    <row r="491" ht="14.25" customHeight="1" spans="1:7" x14ac:dyDescent="0.25">
      <c r="G491" s="62"/>
    </row>
    <row r="492" ht="14.25" customHeight="1" spans="1:7" x14ac:dyDescent="0.25">
      <c r="G492" s="62"/>
    </row>
    <row r="493" ht="14.25" customHeight="1" spans="1:7" x14ac:dyDescent="0.25">
      <c r="G493" s="62"/>
    </row>
    <row r="494" ht="14.25" customHeight="1" spans="1:7" x14ac:dyDescent="0.25">
      <c r="G494" s="62"/>
    </row>
    <row r="495" ht="14.25" customHeight="1" spans="1:7" x14ac:dyDescent="0.25">
      <c r="G495" s="62"/>
    </row>
    <row r="496" ht="14.25" customHeight="1" spans="1:7" x14ac:dyDescent="0.25">
      <c r="G496" s="62"/>
    </row>
    <row r="497" ht="14.25" customHeight="1" spans="1:7" x14ac:dyDescent="0.25">
      <c r="G497" s="62"/>
    </row>
    <row r="498" ht="14.25" customHeight="1" spans="1:7" x14ac:dyDescent="0.25">
      <c r="G498" s="62"/>
    </row>
    <row r="499" ht="14.25" customHeight="1" spans="1:7" x14ac:dyDescent="0.25">
      <c r="G499" s="62"/>
    </row>
    <row r="500" ht="14.25" customHeight="1" spans="1:7" x14ac:dyDescent="0.25">
      <c r="G500" s="62"/>
    </row>
    <row r="501" ht="14.25" customHeight="1" spans="1:7" x14ac:dyDescent="0.25">
      <c r="G501" s="62"/>
    </row>
    <row r="502" ht="14.25" customHeight="1" spans="1:7" x14ac:dyDescent="0.25">
      <c r="G502" s="62"/>
    </row>
    <row r="503" ht="14.25" customHeight="1" spans="1:7" x14ac:dyDescent="0.25">
      <c r="G503" s="62"/>
    </row>
    <row r="504" ht="14.25" customHeight="1" spans="1:7" x14ac:dyDescent="0.25">
      <c r="G504" s="62"/>
    </row>
    <row r="505" ht="14.25" customHeight="1" spans="1:7" x14ac:dyDescent="0.25">
      <c r="G505" s="62"/>
    </row>
    <row r="506" ht="14.25" customHeight="1" spans="1:7" x14ac:dyDescent="0.25">
      <c r="G506" s="62"/>
    </row>
    <row r="507" ht="14.25" customHeight="1" spans="1:7" x14ac:dyDescent="0.25">
      <c r="G507" s="62"/>
    </row>
    <row r="508" ht="14.25" customHeight="1" spans="1:7" x14ac:dyDescent="0.25">
      <c r="G508" s="62"/>
    </row>
    <row r="509" ht="14.25" customHeight="1" spans="1:7" x14ac:dyDescent="0.25">
      <c r="G509" s="62"/>
    </row>
    <row r="510" ht="14.25" customHeight="1" spans="1:7" x14ac:dyDescent="0.25">
      <c r="G510" s="62"/>
    </row>
    <row r="511" ht="14.25" customHeight="1" spans="1:7" x14ac:dyDescent="0.25">
      <c r="G511" s="62"/>
    </row>
    <row r="512" ht="14.25" customHeight="1" spans="1:7" x14ac:dyDescent="0.25">
      <c r="G512" s="62"/>
    </row>
    <row r="513" ht="14.25" customHeight="1" spans="1:7" x14ac:dyDescent="0.25">
      <c r="G513" s="62"/>
    </row>
    <row r="514" ht="14.25" customHeight="1" spans="1:7" x14ac:dyDescent="0.25">
      <c r="G514" s="62"/>
    </row>
    <row r="515" ht="14.25" customHeight="1" spans="1:7" x14ac:dyDescent="0.25">
      <c r="G515" s="62"/>
    </row>
    <row r="516" ht="14.25" customHeight="1" spans="1:7" x14ac:dyDescent="0.25">
      <c r="G516" s="62"/>
    </row>
    <row r="517" ht="14.25" customHeight="1" spans="1:7" x14ac:dyDescent="0.25">
      <c r="G517" s="62"/>
    </row>
    <row r="518" ht="14.25" customHeight="1" spans="1:7" x14ac:dyDescent="0.25">
      <c r="G518" s="62"/>
    </row>
    <row r="519" ht="14.25" customHeight="1" spans="1:7" x14ac:dyDescent="0.25">
      <c r="G519" s="62"/>
    </row>
    <row r="520" ht="14.25" customHeight="1" spans="1:7" x14ac:dyDescent="0.25">
      <c r="G520" s="62"/>
    </row>
    <row r="521" ht="14.25" customHeight="1" spans="1:7" x14ac:dyDescent="0.25">
      <c r="G521" s="62"/>
    </row>
    <row r="522" ht="14.25" customHeight="1" spans="1:7" x14ac:dyDescent="0.25">
      <c r="G522" s="62"/>
    </row>
    <row r="523" ht="14.25" customHeight="1" spans="1:7" x14ac:dyDescent="0.25">
      <c r="G523" s="62"/>
    </row>
    <row r="524" ht="14.25" customHeight="1" spans="1:7" x14ac:dyDescent="0.25">
      <c r="G524" s="62"/>
    </row>
    <row r="525" ht="14.25" customHeight="1" spans="1:7" x14ac:dyDescent="0.25">
      <c r="G525" s="62"/>
    </row>
    <row r="526" ht="14.25" customHeight="1" spans="1:7" x14ac:dyDescent="0.25">
      <c r="G526" s="62"/>
    </row>
    <row r="527" ht="14.25" customHeight="1" spans="1:7" x14ac:dyDescent="0.25">
      <c r="G527" s="62"/>
    </row>
    <row r="528" ht="14.25" customHeight="1" spans="1:7" x14ac:dyDescent="0.25">
      <c r="G528" s="62"/>
    </row>
    <row r="529" ht="14.25" customHeight="1" spans="1:7" x14ac:dyDescent="0.25">
      <c r="G529" s="62"/>
    </row>
    <row r="530" ht="14.25" customHeight="1" spans="1:7" x14ac:dyDescent="0.25">
      <c r="G530" s="62"/>
    </row>
    <row r="531" ht="14.25" customHeight="1" spans="1:7" x14ac:dyDescent="0.25">
      <c r="G531" s="62"/>
    </row>
    <row r="532" ht="14.25" customHeight="1" spans="1:7" x14ac:dyDescent="0.25">
      <c r="G532" s="62"/>
    </row>
    <row r="533" ht="14.25" customHeight="1" spans="1:7" x14ac:dyDescent="0.25">
      <c r="G533" s="62"/>
    </row>
    <row r="534" ht="14.25" customHeight="1" spans="1:7" x14ac:dyDescent="0.25">
      <c r="G534" s="62"/>
    </row>
    <row r="535" ht="14.25" customHeight="1" spans="1:7" x14ac:dyDescent="0.25">
      <c r="G535" s="62"/>
    </row>
    <row r="536" ht="14.25" customHeight="1" spans="1:7" x14ac:dyDescent="0.25">
      <c r="G536" s="62"/>
    </row>
    <row r="537" ht="14.25" customHeight="1" spans="1:7" x14ac:dyDescent="0.25">
      <c r="G537" s="62"/>
    </row>
    <row r="538" ht="14.25" customHeight="1" spans="1:7" x14ac:dyDescent="0.25">
      <c r="G538" s="62"/>
    </row>
    <row r="539" ht="14.25" customHeight="1" spans="1:7" x14ac:dyDescent="0.25">
      <c r="G539" s="62"/>
    </row>
    <row r="540" ht="14.25" customHeight="1" spans="1:7" x14ac:dyDescent="0.25">
      <c r="G540" s="62"/>
    </row>
    <row r="541" ht="14.25" customHeight="1" spans="1:7" x14ac:dyDescent="0.25">
      <c r="G541" s="62"/>
    </row>
    <row r="542" ht="14.25" customHeight="1" spans="1:7" x14ac:dyDescent="0.25">
      <c r="G542" s="62"/>
    </row>
    <row r="543" ht="14.25" customHeight="1" spans="1:7" x14ac:dyDescent="0.25">
      <c r="G543" s="62"/>
    </row>
    <row r="544" ht="14.25" customHeight="1" spans="1:7" x14ac:dyDescent="0.25">
      <c r="G544" s="62"/>
    </row>
    <row r="545" ht="14.25" customHeight="1" spans="1:7" x14ac:dyDescent="0.25">
      <c r="G545" s="62"/>
    </row>
    <row r="546" ht="14.25" customHeight="1" spans="1:7" x14ac:dyDescent="0.25">
      <c r="G546" s="62"/>
    </row>
    <row r="547" ht="14.25" customHeight="1" spans="1:7" x14ac:dyDescent="0.25">
      <c r="G547" s="62"/>
    </row>
    <row r="548" ht="14.25" customHeight="1" spans="1:7" x14ac:dyDescent="0.25">
      <c r="G548" s="62"/>
    </row>
    <row r="549" ht="14.25" customHeight="1" spans="1:7" x14ac:dyDescent="0.25">
      <c r="G549" s="62"/>
    </row>
    <row r="550" ht="14.25" customHeight="1" spans="1:7" x14ac:dyDescent="0.25">
      <c r="G550" s="62"/>
    </row>
    <row r="551" ht="14.25" customHeight="1" spans="1:7" x14ac:dyDescent="0.25">
      <c r="G551" s="62"/>
    </row>
    <row r="552" ht="14.25" customHeight="1" spans="1:7" x14ac:dyDescent="0.25">
      <c r="G552" s="62"/>
    </row>
    <row r="553" ht="14.25" customHeight="1" spans="1:7" x14ac:dyDescent="0.25">
      <c r="G553" s="62"/>
    </row>
    <row r="554" ht="14.25" customHeight="1" spans="1:7" x14ac:dyDescent="0.25">
      <c r="G554" s="62"/>
    </row>
    <row r="555" ht="14.25" customHeight="1" spans="1:7" x14ac:dyDescent="0.25">
      <c r="G555" s="62"/>
    </row>
    <row r="556" ht="14.25" customHeight="1" spans="1:7" x14ac:dyDescent="0.25">
      <c r="G556" s="62"/>
    </row>
    <row r="557" ht="14.25" customHeight="1" spans="1:7" x14ac:dyDescent="0.25">
      <c r="G557" s="62"/>
    </row>
    <row r="558" ht="14.25" customHeight="1" spans="1:7" x14ac:dyDescent="0.25">
      <c r="G558" s="62"/>
    </row>
    <row r="559" ht="14.25" customHeight="1" spans="1:7" x14ac:dyDescent="0.25">
      <c r="G559" s="62"/>
    </row>
    <row r="560" ht="14.25" customHeight="1" spans="1:7" x14ac:dyDescent="0.25">
      <c r="G560" s="62"/>
    </row>
    <row r="561" ht="14.25" customHeight="1" spans="1:7" x14ac:dyDescent="0.25">
      <c r="G561" s="62"/>
    </row>
    <row r="562" ht="14.25" customHeight="1" spans="1:7" x14ac:dyDescent="0.25">
      <c r="G562" s="62"/>
    </row>
    <row r="563" ht="14.25" customHeight="1" spans="1:7" x14ac:dyDescent="0.25">
      <c r="G563" s="62"/>
    </row>
    <row r="564" ht="14.25" customHeight="1" spans="1:7" x14ac:dyDescent="0.25">
      <c r="G564" s="62"/>
    </row>
    <row r="565" ht="14.25" customHeight="1" spans="1:7" x14ac:dyDescent="0.25">
      <c r="G565" s="62"/>
    </row>
    <row r="566" ht="14.25" customHeight="1" spans="1:7" x14ac:dyDescent="0.25">
      <c r="G566" s="62"/>
    </row>
    <row r="567" ht="14.25" customHeight="1" spans="1:7" x14ac:dyDescent="0.25">
      <c r="G567" s="62"/>
    </row>
    <row r="568" ht="14.25" customHeight="1" spans="1:7" x14ac:dyDescent="0.25">
      <c r="G568" s="62"/>
    </row>
    <row r="569" ht="14.25" customHeight="1" spans="1:7" x14ac:dyDescent="0.25">
      <c r="G569" s="62"/>
    </row>
    <row r="570" ht="14.25" customHeight="1" spans="1:7" x14ac:dyDescent="0.25">
      <c r="G570" s="62"/>
    </row>
    <row r="571" ht="14.25" customHeight="1" spans="1:7" x14ac:dyDescent="0.25">
      <c r="G571" s="62"/>
    </row>
    <row r="572" ht="14.25" customHeight="1" spans="1:7" x14ac:dyDescent="0.25">
      <c r="G572" s="62"/>
    </row>
    <row r="573" ht="14.25" customHeight="1" spans="1:7" x14ac:dyDescent="0.25">
      <c r="G573" s="62"/>
    </row>
    <row r="574" ht="14.25" customHeight="1" spans="1:7" x14ac:dyDescent="0.25">
      <c r="G574" s="62"/>
    </row>
    <row r="575" ht="14.25" customHeight="1" spans="1:7" x14ac:dyDescent="0.25">
      <c r="G575" s="62"/>
    </row>
    <row r="576" ht="14.25" customHeight="1" spans="1:7" x14ac:dyDescent="0.25">
      <c r="G576" s="62"/>
    </row>
    <row r="577" ht="14.25" customHeight="1" spans="1:7" x14ac:dyDescent="0.25">
      <c r="G577" s="62"/>
    </row>
    <row r="578" ht="14.25" customHeight="1" spans="1:7" x14ac:dyDescent="0.25">
      <c r="G578" s="62"/>
    </row>
    <row r="579" ht="14.25" customHeight="1" spans="1:7" x14ac:dyDescent="0.25">
      <c r="G579" s="62"/>
    </row>
    <row r="580" ht="14.25" customHeight="1" spans="1:7" x14ac:dyDescent="0.25">
      <c r="G580" s="62"/>
    </row>
    <row r="581" ht="14.25" customHeight="1" spans="1:7" x14ac:dyDescent="0.25">
      <c r="G581" s="62"/>
    </row>
    <row r="582" ht="14.25" customHeight="1" spans="1:7" x14ac:dyDescent="0.25">
      <c r="G582" s="62"/>
    </row>
    <row r="583" ht="14.25" customHeight="1" spans="1:7" x14ac:dyDescent="0.25">
      <c r="G583" s="62"/>
    </row>
    <row r="584" ht="14.25" customHeight="1" spans="1:7" x14ac:dyDescent="0.25">
      <c r="G584" s="62"/>
    </row>
    <row r="585" ht="14.25" customHeight="1" spans="1:7" x14ac:dyDescent="0.25">
      <c r="G585" s="62"/>
    </row>
    <row r="586" ht="14.25" customHeight="1" spans="1:7" x14ac:dyDescent="0.25">
      <c r="G586" s="62"/>
    </row>
    <row r="587" ht="14.25" customHeight="1" spans="1:7" x14ac:dyDescent="0.25">
      <c r="G587" s="62"/>
    </row>
    <row r="588" ht="14.25" customHeight="1" spans="1:7" x14ac:dyDescent="0.25">
      <c r="G588" s="62"/>
    </row>
    <row r="589" ht="14.25" customHeight="1" spans="1:7" x14ac:dyDescent="0.25">
      <c r="G589" s="62"/>
    </row>
    <row r="590" ht="14.25" customHeight="1" spans="1:7" x14ac:dyDescent="0.25">
      <c r="G590" s="62"/>
    </row>
    <row r="591" ht="14.25" customHeight="1" spans="1:7" x14ac:dyDescent="0.25">
      <c r="G591" s="62"/>
    </row>
    <row r="592" ht="14.25" customHeight="1" spans="1:7" x14ac:dyDescent="0.25">
      <c r="G592" s="62"/>
    </row>
    <row r="593" ht="14.25" customHeight="1" spans="1:7" x14ac:dyDescent="0.25">
      <c r="G593" s="62"/>
    </row>
    <row r="594" ht="14.25" customHeight="1" spans="1:7" x14ac:dyDescent="0.25">
      <c r="G594" s="62"/>
    </row>
    <row r="595" ht="14.25" customHeight="1" spans="1:7" x14ac:dyDescent="0.25">
      <c r="G595" s="62"/>
    </row>
    <row r="596" ht="14.25" customHeight="1" spans="1:7" x14ac:dyDescent="0.25">
      <c r="G596" s="62"/>
    </row>
    <row r="597" ht="14.25" customHeight="1" spans="1:7" x14ac:dyDescent="0.25">
      <c r="G597" s="62"/>
    </row>
    <row r="598" ht="14.25" customHeight="1" spans="1:7" x14ac:dyDescent="0.25">
      <c r="G598" s="62"/>
    </row>
    <row r="599" ht="14.25" customHeight="1" spans="1:7" x14ac:dyDescent="0.25">
      <c r="G599" s="62"/>
    </row>
    <row r="600" ht="14.25" customHeight="1" spans="1:7" x14ac:dyDescent="0.25">
      <c r="G600" s="62"/>
    </row>
    <row r="601" ht="14.25" customHeight="1" spans="1:7" x14ac:dyDescent="0.25">
      <c r="G601" s="62"/>
    </row>
    <row r="602" ht="14.25" customHeight="1" spans="1:7" x14ac:dyDescent="0.25">
      <c r="G602" s="62"/>
    </row>
    <row r="603" ht="14.25" customHeight="1" spans="1:7" x14ac:dyDescent="0.25">
      <c r="G603" s="62"/>
    </row>
    <row r="604" ht="14.25" customHeight="1" spans="1:7" x14ac:dyDescent="0.25">
      <c r="G604" s="62"/>
    </row>
    <row r="605" ht="14.25" customHeight="1" spans="1:7" x14ac:dyDescent="0.25">
      <c r="G605" s="62"/>
    </row>
    <row r="606" ht="14.25" customHeight="1" spans="1:7" x14ac:dyDescent="0.25">
      <c r="G606" s="62"/>
    </row>
    <row r="607" ht="14.25" customHeight="1" spans="1:7" x14ac:dyDescent="0.25">
      <c r="G607" s="62"/>
    </row>
    <row r="608" ht="14.25" customHeight="1" spans="1:7" x14ac:dyDescent="0.25">
      <c r="G608" s="62"/>
    </row>
    <row r="609" ht="14.25" customHeight="1" spans="1:7" x14ac:dyDescent="0.25">
      <c r="G609" s="62"/>
    </row>
    <row r="610" ht="14.25" customHeight="1" spans="1:7" x14ac:dyDescent="0.25">
      <c r="G610" s="62"/>
    </row>
    <row r="611" ht="14.25" customHeight="1" spans="1:7" x14ac:dyDescent="0.25">
      <c r="G611" s="62"/>
    </row>
    <row r="612" ht="14.25" customHeight="1" spans="1:7" x14ac:dyDescent="0.25">
      <c r="G612" s="62"/>
    </row>
    <row r="613" ht="14.25" customHeight="1" spans="1:7" x14ac:dyDescent="0.25">
      <c r="G613" s="62"/>
    </row>
    <row r="614" ht="14.25" customHeight="1" spans="1:7" x14ac:dyDescent="0.25">
      <c r="G614" s="62"/>
    </row>
    <row r="615" ht="14.25" customHeight="1" spans="1:7" x14ac:dyDescent="0.25">
      <c r="G615" s="62"/>
    </row>
    <row r="616" ht="14.25" customHeight="1" spans="1:7" x14ac:dyDescent="0.25">
      <c r="G616" s="62"/>
    </row>
    <row r="617" ht="14.25" customHeight="1" spans="1:7" x14ac:dyDescent="0.25">
      <c r="G617" s="62"/>
    </row>
    <row r="618" ht="14.25" customHeight="1" spans="1:7" x14ac:dyDescent="0.25">
      <c r="G618" s="62"/>
    </row>
    <row r="619" ht="14.25" customHeight="1" spans="1:7" x14ac:dyDescent="0.25">
      <c r="G619" s="62"/>
    </row>
    <row r="620" ht="14.25" customHeight="1" spans="1:7" x14ac:dyDescent="0.25">
      <c r="G620" s="62"/>
    </row>
    <row r="621" ht="14.25" customHeight="1" spans="1:7" x14ac:dyDescent="0.25">
      <c r="G621" s="62"/>
    </row>
    <row r="622" ht="14.25" customHeight="1" spans="1:7" x14ac:dyDescent="0.25">
      <c r="G622" s="62"/>
    </row>
    <row r="623" ht="14.25" customHeight="1" spans="1:7" x14ac:dyDescent="0.25">
      <c r="G623" s="62"/>
    </row>
    <row r="624" ht="14.25" customHeight="1" spans="1:7" x14ac:dyDescent="0.25">
      <c r="G624" s="62"/>
    </row>
    <row r="625" ht="14.25" customHeight="1" spans="1:7" x14ac:dyDescent="0.25">
      <c r="G625" s="62"/>
    </row>
    <row r="626" ht="14.25" customHeight="1" spans="1:7" x14ac:dyDescent="0.25">
      <c r="G626" s="62"/>
    </row>
    <row r="627" ht="14.25" customHeight="1" spans="1:7" x14ac:dyDescent="0.25">
      <c r="G627" s="62"/>
    </row>
    <row r="628" ht="14.25" customHeight="1" spans="1:7" x14ac:dyDescent="0.25">
      <c r="G628" s="62"/>
    </row>
    <row r="629" ht="14.25" customHeight="1" spans="1:7" x14ac:dyDescent="0.25">
      <c r="G629" s="62"/>
    </row>
    <row r="630" ht="14.25" customHeight="1" spans="1:7" x14ac:dyDescent="0.25">
      <c r="G630" s="62"/>
    </row>
    <row r="631" ht="14.25" customHeight="1" spans="1:7" x14ac:dyDescent="0.25">
      <c r="G631" s="62"/>
    </row>
    <row r="632" ht="14.25" customHeight="1" spans="1:7" x14ac:dyDescent="0.25">
      <c r="G632" s="62"/>
    </row>
    <row r="633" ht="14.25" customHeight="1" spans="1:7" x14ac:dyDescent="0.25">
      <c r="G633" s="62"/>
    </row>
    <row r="634" ht="14.25" customHeight="1" spans="1:7" x14ac:dyDescent="0.25">
      <c r="G634" s="62"/>
    </row>
    <row r="635" ht="14.25" customHeight="1" spans="1:7" x14ac:dyDescent="0.25">
      <c r="G635" s="62"/>
    </row>
    <row r="636" ht="14.25" customHeight="1" spans="1:7" x14ac:dyDescent="0.25">
      <c r="G636" s="62"/>
    </row>
    <row r="637" ht="14.25" customHeight="1" spans="1:7" x14ac:dyDescent="0.25">
      <c r="G637" s="62"/>
    </row>
    <row r="638" ht="14.25" customHeight="1" spans="1:7" x14ac:dyDescent="0.25">
      <c r="G638" s="62"/>
    </row>
    <row r="639" ht="14.25" customHeight="1" spans="1:7" x14ac:dyDescent="0.25">
      <c r="G639" s="62"/>
    </row>
    <row r="640" ht="14.25" customHeight="1" spans="1:7" x14ac:dyDescent="0.25">
      <c r="G640" s="62"/>
    </row>
    <row r="641" ht="14.25" customHeight="1" spans="1:7" x14ac:dyDescent="0.25">
      <c r="G641" s="62"/>
    </row>
    <row r="642" ht="14.25" customHeight="1" spans="1:7" x14ac:dyDescent="0.25">
      <c r="G642" s="62"/>
    </row>
    <row r="643" ht="14.25" customHeight="1" spans="1:7" x14ac:dyDescent="0.25">
      <c r="G643" s="62"/>
    </row>
    <row r="644" ht="14.25" customHeight="1" spans="1:7" x14ac:dyDescent="0.25">
      <c r="G644" s="62"/>
    </row>
    <row r="645" ht="14.25" customHeight="1" spans="1:7" x14ac:dyDescent="0.25">
      <c r="G645" s="62"/>
    </row>
    <row r="646" ht="14.25" customHeight="1" spans="1:7" x14ac:dyDescent="0.25">
      <c r="G646" s="62"/>
    </row>
    <row r="647" ht="14.25" customHeight="1" spans="1:7" x14ac:dyDescent="0.25">
      <c r="G647" s="62"/>
    </row>
    <row r="648" ht="14.25" customHeight="1" spans="1:7" x14ac:dyDescent="0.25">
      <c r="G648" s="62"/>
    </row>
    <row r="649" ht="14.25" customHeight="1" spans="1:7" x14ac:dyDescent="0.25">
      <c r="G649" s="62"/>
    </row>
    <row r="650" ht="14.25" customHeight="1" spans="1:7" x14ac:dyDescent="0.25">
      <c r="G650" s="62"/>
    </row>
    <row r="651" ht="14.25" customHeight="1" spans="1:7" x14ac:dyDescent="0.25">
      <c r="G651" s="62"/>
    </row>
    <row r="652" ht="14.25" customHeight="1" spans="1:7" x14ac:dyDescent="0.25">
      <c r="G652" s="62"/>
    </row>
    <row r="653" ht="14.25" customHeight="1" spans="1:7" x14ac:dyDescent="0.25">
      <c r="G653" s="62"/>
    </row>
    <row r="654" ht="14.25" customHeight="1" spans="1:7" x14ac:dyDescent="0.25">
      <c r="G654" s="62"/>
    </row>
    <row r="655" ht="14.25" customHeight="1" spans="1:7" x14ac:dyDescent="0.25">
      <c r="G655" s="62"/>
    </row>
    <row r="656" ht="14.25" customHeight="1" spans="1:7" x14ac:dyDescent="0.25">
      <c r="G656" s="62"/>
    </row>
    <row r="657" ht="14.25" customHeight="1" spans="1:7" x14ac:dyDescent="0.25">
      <c r="G657" s="62"/>
    </row>
    <row r="658" ht="14.25" customHeight="1" spans="1:7" x14ac:dyDescent="0.25">
      <c r="G658" s="62"/>
    </row>
    <row r="659" ht="14.25" customHeight="1" spans="1:7" x14ac:dyDescent="0.25">
      <c r="G659" s="62"/>
    </row>
    <row r="660" ht="14.25" customHeight="1" spans="1:7" x14ac:dyDescent="0.25">
      <c r="G660" s="62"/>
    </row>
    <row r="661" ht="14.25" customHeight="1" spans="1:7" x14ac:dyDescent="0.25">
      <c r="G661" s="62"/>
    </row>
    <row r="662" ht="14.25" customHeight="1" spans="1:7" x14ac:dyDescent="0.25">
      <c r="G662" s="62"/>
    </row>
    <row r="663" ht="14.25" customHeight="1" spans="1:7" x14ac:dyDescent="0.25">
      <c r="G663" s="62"/>
    </row>
    <row r="664" ht="14.25" customHeight="1" spans="1:7" x14ac:dyDescent="0.25">
      <c r="G664" s="62"/>
    </row>
    <row r="665" ht="14.25" customHeight="1" spans="1:7" x14ac:dyDescent="0.25">
      <c r="G665" s="62"/>
    </row>
    <row r="666" ht="14.25" customHeight="1" spans="1:7" x14ac:dyDescent="0.25">
      <c r="G666" s="62"/>
    </row>
    <row r="667" ht="14.25" customHeight="1" spans="1:7" x14ac:dyDescent="0.25">
      <c r="G667" s="62"/>
    </row>
    <row r="668" ht="14.25" customHeight="1" spans="1:7" x14ac:dyDescent="0.25">
      <c r="G668" s="62"/>
    </row>
    <row r="669" ht="14.25" customHeight="1" spans="1:7" x14ac:dyDescent="0.25">
      <c r="G669" s="62"/>
    </row>
    <row r="670" ht="14.25" customHeight="1" spans="1:7" x14ac:dyDescent="0.25">
      <c r="G670" s="62"/>
    </row>
    <row r="671" ht="14.25" customHeight="1" spans="1:7" x14ac:dyDescent="0.25">
      <c r="G671" s="62"/>
    </row>
    <row r="672" ht="14.25" customHeight="1" spans="1:7" x14ac:dyDescent="0.25">
      <c r="G672" s="62"/>
    </row>
    <row r="673" ht="14.25" customHeight="1" spans="1:7" x14ac:dyDescent="0.25">
      <c r="G673" s="62"/>
    </row>
    <row r="674" ht="14.25" customHeight="1" spans="1:7" x14ac:dyDescent="0.25">
      <c r="G674" s="62"/>
    </row>
    <row r="675" ht="14.25" customHeight="1" spans="1:7" x14ac:dyDescent="0.25">
      <c r="G675" s="62"/>
    </row>
    <row r="676" ht="14.25" customHeight="1" spans="1:7" x14ac:dyDescent="0.25">
      <c r="G676" s="62"/>
    </row>
    <row r="677" ht="14.25" customHeight="1" spans="1:7" x14ac:dyDescent="0.25">
      <c r="G677" s="62"/>
    </row>
    <row r="678" ht="14.25" customHeight="1" spans="1:7" x14ac:dyDescent="0.25">
      <c r="G678" s="62"/>
    </row>
    <row r="679" ht="14.25" customHeight="1" spans="1:7" x14ac:dyDescent="0.25">
      <c r="G679" s="62"/>
    </row>
    <row r="680" ht="14.25" customHeight="1" spans="1:7" x14ac:dyDescent="0.25">
      <c r="G680" s="62"/>
    </row>
    <row r="681" ht="14.25" customHeight="1" spans="1:7" x14ac:dyDescent="0.25">
      <c r="G681" s="62"/>
    </row>
    <row r="682" ht="14.25" customHeight="1" spans="1:7" x14ac:dyDescent="0.25">
      <c r="G682" s="62"/>
    </row>
    <row r="683" ht="14.25" customHeight="1" spans="1:7" x14ac:dyDescent="0.25">
      <c r="G683" s="62"/>
    </row>
    <row r="684" ht="14.25" customHeight="1" spans="1:7" x14ac:dyDescent="0.25">
      <c r="G684" s="62"/>
    </row>
    <row r="685" ht="14.25" customHeight="1" spans="1:7" x14ac:dyDescent="0.25">
      <c r="G685" s="62"/>
    </row>
    <row r="686" ht="14.25" customHeight="1" spans="1:7" x14ac:dyDescent="0.25">
      <c r="G686" s="62"/>
    </row>
    <row r="687" ht="14.25" customHeight="1" spans="1:7" x14ac:dyDescent="0.25">
      <c r="G687" s="62"/>
    </row>
    <row r="688" ht="14.25" customHeight="1" spans="1:7" x14ac:dyDescent="0.25">
      <c r="G688" s="62"/>
    </row>
    <row r="689" ht="14.25" customHeight="1" spans="1:7" x14ac:dyDescent="0.25">
      <c r="G689" s="62"/>
    </row>
    <row r="690" ht="14.25" customHeight="1" spans="1:7" x14ac:dyDescent="0.25">
      <c r="G690" s="62"/>
    </row>
    <row r="691" ht="14.25" customHeight="1" spans="1:7" x14ac:dyDescent="0.25">
      <c r="G691" s="62"/>
    </row>
    <row r="692" ht="14.25" customHeight="1" spans="1:7" x14ac:dyDescent="0.25">
      <c r="G692" s="62"/>
    </row>
    <row r="693" ht="14.25" customHeight="1" spans="1:7" x14ac:dyDescent="0.25">
      <c r="G693" s="62"/>
    </row>
    <row r="694" ht="14.25" customHeight="1" spans="1:7" x14ac:dyDescent="0.25">
      <c r="G694" s="62"/>
    </row>
    <row r="695" ht="14.25" customHeight="1" spans="1:7" x14ac:dyDescent="0.25">
      <c r="G695" s="62"/>
    </row>
    <row r="696" ht="14.25" customHeight="1" spans="1:7" x14ac:dyDescent="0.25">
      <c r="G696" s="62"/>
    </row>
    <row r="697" ht="14.25" customHeight="1" spans="1:7" x14ac:dyDescent="0.25">
      <c r="G697" s="62"/>
    </row>
    <row r="698" ht="14.25" customHeight="1" spans="1:7" x14ac:dyDescent="0.25">
      <c r="G698" s="62"/>
    </row>
    <row r="699" ht="14.25" customHeight="1" spans="1:7" x14ac:dyDescent="0.25">
      <c r="G699" s="62"/>
    </row>
    <row r="700" ht="14.25" customHeight="1" spans="1:7" x14ac:dyDescent="0.25">
      <c r="G700" s="62"/>
    </row>
    <row r="701" ht="14.25" customHeight="1" spans="1:7" x14ac:dyDescent="0.25">
      <c r="G701" s="62"/>
    </row>
    <row r="702" ht="14.25" customHeight="1" spans="1:7" x14ac:dyDescent="0.25">
      <c r="G702" s="62"/>
    </row>
    <row r="703" ht="14.25" customHeight="1" spans="1:7" x14ac:dyDescent="0.25">
      <c r="G703" s="62"/>
    </row>
    <row r="704" ht="14.25" customHeight="1" spans="1:7" x14ac:dyDescent="0.25">
      <c r="G704" s="62"/>
    </row>
    <row r="705" ht="14.25" customHeight="1" spans="1:7" x14ac:dyDescent="0.25">
      <c r="G705" s="62"/>
    </row>
    <row r="706" ht="14.25" customHeight="1" spans="1:7" x14ac:dyDescent="0.25">
      <c r="G706" s="62"/>
    </row>
    <row r="707" ht="14.25" customHeight="1" spans="1:7" x14ac:dyDescent="0.25">
      <c r="G707" s="62"/>
    </row>
    <row r="708" ht="14.25" customHeight="1" spans="1:7" x14ac:dyDescent="0.25">
      <c r="G708" s="62"/>
    </row>
    <row r="709" ht="14.25" customHeight="1" spans="1:7" x14ac:dyDescent="0.25">
      <c r="G709" s="62"/>
    </row>
    <row r="710" ht="14.25" customHeight="1" spans="1:7" x14ac:dyDescent="0.25">
      <c r="G710" s="62"/>
    </row>
    <row r="711" ht="14.25" customHeight="1" spans="1:7" x14ac:dyDescent="0.25">
      <c r="G711" s="62"/>
    </row>
    <row r="712" ht="14.25" customHeight="1" spans="1:7" x14ac:dyDescent="0.25">
      <c r="G712" s="62"/>
    </row>
    <row r="713" ht="14.25" customHeight="1" spans="1:7" x14ac:dyDescent="0.25">
      <c r="G713" s="62"/>
    </row>
    <row r="714" ht="14.25" customHeight="1" spans="1:7" x14ac:dyDescent="0.25">
      <c r="G714" s="62"/>
    </row>
    <row r="715" ht="14.25" customHeight="1" spans="1:7" x14ac:dyDescent="0.25">
      <c r="G715" s="62"/>
    </row>
    <row r="716" ht="14.25" customHeight="1" spans="1:7" x14ac:dyDescent="0.25">
      <c r="G716" s="62"/>
    </row>
    <row r="717" ht="14.25" customHeight="1" spans="1:7" x14ac:dyDescent="0.25">
      <c r="G717" s="62"/>
    </row>
    <row r="718" ht="14.25" customHeight="1" spans="1:7" x14ac:dyDescent="0.25">
      <c r="G718" s="62"/>
    </row>
    <row r="719" ht="14.25" customHeight="1" spans="1:7" x14ac:dyDescent="0.25">
      <c r="G719" s="62"/>
    </row>
    <row r="720" ht="14.25" customHeight="1" spans="1:7" x14ac:dyDescent="0.25">
      <c r="G720" s="62"/>
    </row>
    <row r="721" ht="14.25" customHeight="1" spans="1:7" x14ac:dyDescent="0.25">
      <c r="G721" s="62"/>
    </row>
    <row r="722" ht="14.25" customHeight="1" spans="1:7" x14ac:dyDescent="0.25">
      <c r="G722" s="62"/>
    </row>
    <row r="723" ht="14.25" customHeight="1" spans="1:7" x14ac:dyDescent="0.25">
      <c r="G723" s="62"/>
    </row>
    <row r="724" ht="14.25" customHeight="1" spans="1:7" x14ac:dyDescent="0.25">
      <c r="G724" s="62"/>
    </row>
    <row r="725" ht="14.25" customHeight="1" spans="1:7" x14ac:dyDescent="0.25">
      <c r="G725" s="62"/>
    </row>
    <row r="726" ht="14.25" customHeight="1" spans="1:7" x14ac:dyDescent="0.25">
      <c r="G726" s="62"/>
    </row>
    <row r="727" ht="14.25" customHeight="1" spans="1:7" x14ac:dyDescent="0.25">
      <c r="G727" s="62"/>
    </row>
    <row r="728" ht="14.25" customHeight="1" spans="1:7" x14ac:dyDescent="0.25">
      <c r="G728" s="62"/>
    </row>
    <row r="729" ht="14.25" customHeight="1" spans="1:7" x14ac:dyDescent="0.25">
      <c r="G729" s="62"/>
    </row>
    <row r="730" ht="14.25" customHeight="1" spans="1:7" x14ac:dyDescent="0.25">
      <c r="G730" s="62"/>
    </row>
    <row r="731" ht="14.25" customHeight="1" spans="1:7" x14ac:dyDescent="0.25">
      <c r="G731" s="62"/>
    </row>
    <row r="732" ht="14.25" customHeight="1" spans="1:7" x14ac:dyDescent="0.25">
      <c r="G732" s="62"/>
    </row>
    <row r="733" ht="14.25" customHeight="1" spans="1:7" x14ac:dyDescent="0.25">
      <c r="G733" s="62"/>
    </row>
    <row r="734" ht="14.25" customHeight="1" spans="1:7" x14ac:dyDescent="0.25">
      <c r="G734" s="62"/>
    </row>
    <row r="735" ht="14.25" customHeight="1" spans="1:7" x14ac:dyDescent="0.25">
      <c r="G735" s="62"/>
    </row>
    <row r="736" ht="14.25" customHeight="1" spans="1:7" x14ac:dyDescent="0.25">
      <c r="G736" s="62"/>
    </row>
    <row r="737" ht="14.25" customHeight="1" spans="1:7" x14ac:dyDescent="0.25">
      <c r="G737" s="62"/>
    </row>
    <row r="738" ht="14.25" customHeight="1" spans="1:7" x14ac:dyDescent="0.25">
      <c r="G738" s="62"/>
    </row>
    <row r="739" ht="14.25" customHeight="1" spans="1:7" x14ac:dyDescent="0.25">
      <c r="G739" s="62"/>
    </row>
    <row r="740" ht="14.25" customHeight="1" spans="1:7" x14ac:dyDescent="0.25">
      <c r="G740" s="62"/>
    </row>
    <row r="741" ht="14.25" customHeight="1" spans="1:7" x14ac:dyDescent="0.25">
      <c r="G741" s="62"/>
    </row>
    <row r="742" ht="14.25" customHeight="1" spans="1:7" x14ac:dyDescent="0.25">
      <c r="G742" s="62"/>
    </row>
    <row r="743" ht="14.25" customHeight="1" spans="1:7" x14ac:dyDescent="0.25">
      <c r="G743" s="62"/>
    </row>
    <row r="744" ht="14.25" customHeight="1" spans="1:7" x14ac:dyDescent="0.25">
      <c r="G744" s="62"/>
    </row>
    <row r="745" ht="14.25" customHeight="1" spans="1:7" x14ac:dyDescent="0.25">
      <c r="G745" s="62"/>
    </row>
    <row r="746" ht="14.25" customHeight="1" spans="1:7" x14ac:dyDescent="0.25">
      <c r="G746" s="62"/>
    </row>
    <row r="747" ht="14.25" customHeight="1" spans="1:7" x14ac:dyDescent="0.25">
      <c r="G747" s="62"/>
    </row>
    <row r="748" ht="14.25" customHeight="1" spans="1:7" x14ac:dyDescent="0.25">
      <c r="G748" s="62"/>
    </row>
    <row r="749" ht="14.25" customHeight="1" spans="1:7" x14ac:dyDescent="0.25">
      <c r="G749" s="62"/>
    </row>
    <row r="750" ht="14.25" customHeight="1" spans="1:7" x14ac:dyDescent="0.25">
      <c r="G750" s="62"/>
    </row>
    <row r="751" ht="14.25" customHeight="1" spans="1:7" x14ac:dyDescent="0.25">
      <c r="G751" s="62"/>
    </row>
    <row r="752" ht="14.25" customHeight="1" spans="1:7" x14ac:dyDescent="0.25">
      <c r="G752" s="62"/>
    </row>
    <row r="753" ht="14.25" customHeight="1" spans="1:7" x14ac:dyDescent="0.25">
      <c r="G753" s="62"/>
    </row>
    <row r="754" ht="14.25" customHeight="1" spans="1:7" x14ac:dyDescent="0.25">
      <c r="G754" s="62"/>
    </row>
    <row r="755" ht="14.25" customHeight="1" spans="1:7" x14ac:dyDescent="0.25">
      <c r="G755" s="62"/>
    </row>
    <row r="756" ht="14.25" customHeight="1" spans="1:7" x14ac:dyDescent="0.25">
      <c r="G756" s="62"/>
    </row>
    <row r="757" ht="14.25" customHeight="1" spans="1:7" x14ac:dyDescent="0.25">
      <c r="G757" s="62"/>
    </row>
    <row r="758" ht="14.25" customHeight="1" spans="1:7" x14ac:dyDescent="0.25">
      <c r="G758" s="62"/>
    </row>
    <row r="759" ht="14.25" customHeight="1" spans="1:7" x14ac:dyDescent="0.25">
      <c r="G759" s="62"/>
    </row>
    <row r="760" ht="14.25" customHeight="1" spans="1:7" x14ac:dyDescent="0.25">
      <c r="G760" s="62"/>
    </row>
    <row r="761" ht="14.25" customHeight="1" spans="1:7" x14ac:dyDescent="0.25">
      <c r="G761" s="62"/>
    </row>
    <row r="762" ht="14.25" customHeight="1" spans="1:7" x14ac:dyDescent="0.25">
      <c r="G762" s="62"/>
    </row>
    <row r="763" ht="14.25" customHeight="1" spans="1:7" x14ac:dyDescent="0.25">
      <c r="G763" s="62"/>
    </row>
    <row r="764" ht="14.25" customHeight="1" spans="1:7" x14ac:dyDescent="0.25">
      <c r="G764" s="62"/>
    </row>
    <row r="765" ht="14.25" customHeight="1" spans="1:7" x14ac:dyDescent="0.25">
      <c r="G765" s="62"/>
    </row>
    <row r="766" ht="14.25" customHeight="1" spans="1:7" x14ac:dyDescent="0.25">
      <c r="G766" s="62"/>
    </row>
    <row r="767" ht="14.25" customHeight="1" spans="1:7" x14ac:dyDescent="0.25">
      <c r="G767" s="62"/>
    </row>
    <row r="768" ht="14.25" customHeight="1" spans="1:7" x14ac:dyDescent="0.25">
      <c r="G768" s="62"/>
    </row>
    <row r="769" ht="14.25" customHeight="1" spans="1:7" x14ac:dyDescent="0.25">
      <c r="G769" s="62"/>
    </row>
    <row r="770" ht="14.25" customHeight="1" spans="1:7" x14ac:dyDescent="0.25">
      <c r="G770" s="62"/>
    </row>
    <row r="771" ht="14.25" customHeight="1" spans="1:7" x14ac:dyDescent="0.25">
      <c r="G771" s="62"/>
    </row>
    <row r="772" ht="14.25" customHeight="1" spans="1:7" x14ac:dyDescent="0.25">
      <c r="G772" s="62"/>
    </row>
    <row r="773" ht="14.25" customHeight="1" spans="1:7" x14ac:dyDescent="0.25">
      <c r="G773" s="62"/>
    </row>
    <row r="774" ht="14.25" customHeight="1" spans="1:7" x14ac:dyDescent="0.25">
      <c r="G774" s="62"/>
    </row>
    <row r="775" ht="14.25" customHeight="1" spans="1:7" x14ac:dyDescent="0.25">
      <c r="G775" s="62"/>
    </row>
    <row r="776" ht="14.25" customHeight="1" spans="1:7" x14ac:dyDescent="0.25">
      <c r="G776" s="62"/>
    </row>
    <row r="777" ht="14.25" customHeight="1" spans="1:7" x14ac:dyDescent="0.25">
      <c r="G777" s="62"/>
    </row>
    <row r="778" ht="14.25" customHeight="1" spans="1:7" x14ac:dyDescent="0.25">
      <c r="G778" s="62"/>
    </row>
    <row r="779" ht="14.25" customHeight="1" spans="1:7" x14ac:dyDescent="0.25">
      <c r="G779" s="62"/>
    </row>
    <row r="780" ht="14.25" customHeight="1" spans="1:7" x14ac:dyDescent="0.25">
      <c r="G780" s="62"/>
    </row>
    <row r="781" ht="14.25" customHeight="1" spans="1:7" x14ac:dyDescent="0.25">
      <c r="G781" s="62"/>
    </row>
    <row r="782" ht="14.25" customHeight="1" spans="1:7" x14ac:dyDescent="0.25">
      <c r="G782" s="62"/>
    </row>
    <row r="783" ht="14.25" customHeight="1" spans="1:7" x14ac:dyDescent="0.25">
      <c r="G783" s="62"/>
    </row>
    <row r="784" ht="14.25" customHeight="1" spans="1:7" x14ac:dyDescent="0.25">
      <c r="G784" s="62"/>
    </row>
    <row r="785" ht="14.25" customHeight="1" spans="1:7" x14ac:dyDescent="0.25">
      <c r="G785" s="62"/>
    </row>
    <row r="786" ht="14.25" customHeight="1" spans="1:7" x14ac:dyDescent="0.25">
      <c r="G786" s="62"/>
    </row>
    <row r="787" ht="14.25" customHeight="1" spans="1:7" x14ac:dyDescent="0.25">
      <c r="G787" s="62"/>
    </row>
    <row r="788" ht="14.25" customHeight="1" spans="1:7" x14ac:dyDescent="0.25">
      <c r="G788" s="62"/>
    </row>
    <row r="789" ht="14.25" customHeight="1" spans="1:7" x14ac:dyDescent="0.25">
      <c r="G789" s="62"/>
    </row>
    <row r="790" ht="14.25" customHeight="1" spans="1:7" x14ac:dyDescent="0.25">
      <c r="G790" s="62"/>
    </row>
    <row r="791" ht="14.25" customHeight="1" spans="1:7" x14ac:dyDescent="0.25">
      <c r="G791" s="62"/>
    </row>
    <row r="792" ht="14.25" customHeight="1" spans="1:7" x14ac:dyDescent="0.25">
      <c r="G792" s="62"/>
    </row>
    <row r="793" ht="14.25" customHeight="1" spans="1:7" x14ac:dyDescent="0.25">
      <c r="G793" s="62"/>
    </row>
    <row r="794" ht="14.25" customHeight="1" spans="1:7" x14ac:dyDescent="0.25">
      <c r="G794" s="62"/>
    </row>
    <row r="795" ht="14.25" customHeight="1" spans="1:7" x14ac:dyDescent="0.25">
      <c r="G795" s="62"/>
    </row>
    <row r="796" ht="14.25" customHeight="1" spans="1:7" x14ac:dyDescent="0.25">
      <c r="G796" s="62"/>
    </row>
    <row r="797" ht="14.25" customHeight="1" spans="1:7" x14ac:dyDescent="0.25">
      <c r="G797" s="62"/>
    </row>
    <row r="798" ht="14.25" customHeight="1" spans="1:7" x14ac:dyDescent="0.25">
      <c r="G798" s="62"/>
    </row>
    <row r="799" ht="14.25" customHeight="1" spans="1:7" x14ac:dyDescent="0.25">
      <c r="G799" s="62"/>
    </row>
    <row r="800" ht="14.25" customHeight="1" spans="1:7" x14ac:dyDescent="0.25">
      <c r="G800" s="62"/>
    </row>
    <row r="801" ht="14.25" customHeight="1" spans="1:7" x14ac:dyDescent="0.25">
      <c r="G801" s="62"/>
    </row>
    <row r="802" ht="14.25" customHeight="1" spans="1:7" x14ac:dyDescent="0.25">
      <c r="G802" s="62"/>
    </row>
    <row r="803" ht="14.25" customHeight="1" spans="1:7" x14ac:dyDescent="0.25">
      <c r="G803" s="62"/>
    </row>
    <row r="804" ht="14.25" customHeight="1" spans="1:7" x14ac:dyDescent="0.25">
      <c r="G804" s="62"/>
    </row>
    <row r="805" ht="14.25" customHeight="1" spans="1:7" x14ac:dyDescent="0.25">
      <c r="G805" s="62"/>
    </row>
    <row r="806" ht="14.25" customHeight="1" spans="1:7" x14ac:dyDescent="0.25">
      <c r="G806" s="62"/>
    </row>
    <row r="807" ht="14.25" customHeight="1" spans="1:7" x14ac:dyDescent="0.25">
      <c r="G807" s="62"/>
    </row>
    <row r="808" ht="14.25" customHeight="1" spans="1:7" x14ac:dyDescent="0.25">
      <c r="G808" s="62"/>
    </row>
    <row r="809" ht="14.25" customHeight="1" spans="1:7" x14ac:dyDescent="0.25">
      <c r="G809" s="62"/>
    </row>
    <row r="810" ht="14.25" customHeight="1" spans="1:7" x14ac:dyDescent="0.25">
      <c r="G810" s="62"/>
    </row>
    <row r="811" ht="14.25" customHeight="1" spans="1:7" x14ac:dyDescent="0.25">
      <c r="G811" s="62"/>
    </row>
    <row r="812" ht="14.25" customHeight="1" spans="1:7" x14ac:dyDescent="0.25">
      <c r="G812" s="62"/>
    </row>
    <row r="813" ht="14.25" customHeight="1" spans="1:7" x14ac:dyDescent="0.25">
      <c r="G813" s="62"/>
    </row>
    <row r="814" ht="14.25" customHeight="1" spans="1:7" x14ac:dyDescent="0.25">
      <c r="G814" s="62"/>
    </row>
    <row r="815" ht="14.25" customHeight="1" spans="1:7" x14ac:dyDescent="0.25">
      <c r="G815" s="62"/>
    </row>
    <row r="816" ht="14.25" customHeight="1" spans="1:7" x14ac:dyDescent="0.25">
      <c r="G816" s="62"/>
    </row>
    <row r="817" ht="14.25" customHeight="1" spans="1:7" x14ac:dyDescent="0.25">
      <c r="G817" s="62"/>
    </row>
    <row r="818" ht="14.25" customHeight="1" spans="1:7" x14ac:dyDescent="0.25">
      <c r="G818" s="62"/>
    </row>
    <row r="819" ht="14.25" customHeight="1" spans="1:7" x14ac:dyDescent="0.25">
      <c r="G819" s="62"/>
    </row>
    <row r="820" ht="14.25" customHeight="1" spans="1:7" x14ac:dyDescent="0.25">
      <c r="G820" s="62"/>
    </row>
    <row r="821" ht="14.25" customHeight="1" spans="1:7" x14ac:dyDescent="0.25">
      <c r="G821" s="62"/>
    </row>
    <row r="822" ht="14.25" customHeight="1" spans="1:7" x14ac:dyDescent="0.25">
      <c r="G822" s="62"/>
    </row>
    <row r="823" ht="14.25" customHeight="1" spans="1:7" x14ac:dyDescent="0.25">
      <c r="G823" s="62"/>
    </row>
    <row r="824" ht="14.25" customHeight="1" spans="1:7" x14ac:dyDescent="0.25">
      <c r="G824" s="62"/>
    </row>
    <row r="825" ht="14.25" customHeight="1" spans="1:7" x14ac:dyDescent="0.25">
      <c r="G825" s="62"/>
    </row>
    <row r="826" ht="14.25" customHeight="1" spans="1:7" x14ac:dyDescent="0.25">
      <c r="G826" s="62"/>
    </row>
    <row r="827" ht="14.25" customHeight="1" spans="1:7" x14ac:dyDescent="0.25">
      <c r="G827" s="62"/>
    </row>
    <row r="828" ht="14.25" customHeight="1" spans="1:7" x14ac:dyDescent="0.25">
      <c r="G828" s="62"/>
    </row>
    <row r="829" ht="14.25" customHeight="1" spans="1:7" x14ac:dyDescent="0.25">
      <c r="G829" s="62"/>
    </row>
    <row r="830" ht="14.25" customHeight="1" spans="1:7" x14ac:dyDescent="0.25">
      <c r="G830" s="62"/>
    </row>
    <row r="831" ht="14.25" customHeight="1" spans="1:7" x14ac:dyDescent="0.25">
      <c r="G831" s="62"/>
    </row>
    <row r="832" ht="14.25" customHeight="1" spans="1:7" x14ac:dyDescent="0.25">
      <c r="G832" s="62"/>
    </row>
    <row r="833" ht="14.25" customHeight="1" spans="1:7" x14ac:dyDescent="0.25">
      <c r="G833" s="62"/>
    </row>
    <row r="834" ht="14.25" customHeight="1" spans="1:7" x14ac:dyDescent="0.25">
      <c r="G834" s="62"/>
    </row>
    <row r="835" ht="14.25" customHeight="1" spans="1:7" x14ac:dyDescent="0.25">
      <c r="G835" s="62"/>
    </row>
    <row r="836" ht="14.25" customHeight="1" spans="1:7" x14ac:dyDescent="0.25">
      <c r="G836" s="62"/>
    </row>
    <row r="837" ht="14.25" customHeight="1" spans="1:7" x14ac:dyDescent="0.25">
      <c r="G837" s="62"/>
    </row>
    <row r="838" ht="14.25" customHeight="1" spans="1:7" x14ac:dyDescent="0.25">
      <c r="G838" s="62"/>
    </row>
    <row r="839" ht="14.25" customHeight="1" spans="1:7" x14ac:dyDescent="0.25">
      <c r="G839" s="62"/>
    </row>
    <row r="840" ht="14.25" customHeight="1" spans="1:7" x14ac:dyDescent="0.25">
      <c r="G840" s="62"/>
    </row>
    <row r="841" ht="14.25" customHeight="1" spans="1:7" x14ac:dyDescent="0.25">
      <c r="G841" s="62"/>
    </row>
    <row r="842" ht="14.25" customHeight="1" spans="1:7" x14ac:dyDescent="0.25">
      <c r="G842" s="62"/>
    </row>
    <row r="843" ht="14.25" customHeight="1" spans="1:7" x14ac:dyDescent="0.25">
      <c r="G843" s="62"/>
    </row>
    <row r="844" ht="14.25" customHeight="1" spans="1:7" x14ac:dyDescent="0.25">
      <c r="G844" s="62"/>
    </row>
    <row r="845" ht="14.25" customHeight="1" spans="1:7" x14ac:dyDescent="0.25">
      <c r="G845" s="62"/>
    </row>
    <row r="846" ht="14.25" customHeight="1" spans="1:7" x14ac:dyDescent="0.25">
      <c r="G846" s="62"/>
    </row>
    <row r="847" ht="14.25" customHeight="1" spans="1:7" x14ac:dyDescent="0.25">
      <c r="G847" s="62"/>
    </row>
    <row r="848" ht="14.25" customHeight="1" spans="1:7" x14ac:dyDescent="0.25">
      <c r="G848" s="62"/>
    </row>
    <row r="849" ht="14.25" customHeight="1" spans="1:7" x14ac:dyDescent="0.25">
      <c r="G849" s="62"/>
    </row>
    <row r="850" ht="14.25" customHeight="1" spans="1:7" x14ac:dyDescent="0.25">
      <c r="G850" s="62"/>
    </row>
    <row r="851" ht="14.25" customHeight="1" spans="1:7" x14ac:dyDescent="0.25">
      <c r="G851" s="62"/>
    </row>
    <row r="852" ht="14.25" customHeight="1" spans="1:7" x14ac:dyDescent="0.25">
      <c r="G852" s="62"/>
    </row>
    <row r="853" ht="14.25" customHeight="1" spans="1:7" x14ac:dyDescent="0.25">
      <c r="G853" s="62"/>
    </row>
    <row r="854" ht="14.25" customHeight="1" spans="1:7" x14ac:dyDescent="0.25">
      <c r="G854" s="62"/>
    </row>
    <row r="855" ht="14.25" customHeight="1" spans="1:7" x14ac:dyDescent="0.25">
      <c r="G855" s="62"/>
    </row>
    <row r="856" ht="14.25" customHeight="1" spans="1:7" x14ac:dyDescent="0.25">
      <c r="G856" s="62"/>
    </row>
    <row r="857" ht="14.25" customHeight="1" spans="1:7" x14ac:dyDescent="0.25">
      <c r="G857" s="62"/>
    </row>
    <row r="858" ht="14.25" customHeight="1" spans="1:7" x14ac:dyDescent="0.25">
      <c r="G858" s="62"/>
    </row>
    <row r="859" ht="14.25" customHeight="1" spans="1:7" x14ac:dyDescent="0.25">
      <c r="G859" s="62"/>
    </row>
    <row r="860" ht="14.25" customHeight="1" spans="1:7" x14ac:dyDescent="0.25">
      <c r="G860" s="62"/>
    </row>
    <row r="861" ht="14.25" customHeight="1" spans="1:7" x14ac:dyDescent="0.25">
      <c r="G861" s="62"/>
    </row>
    <row r="862" ht="14.25" customHeight="1" spans="1:7" x14ac:dyDescent="0.25">
      <c r="G862" s="62"/>
    </row>
    <row r="863" ht="14.25" customHeight="1" spans="1:7" x14ac:dyDescent="0.25">
      <c r="G863" s="62"/>
    </row>
    <row r="864" ht="14.25" customHeight="1" spans="1:7" x14ac:dyDescent="0.25">
      <c r="G864" s="62"/>
    </row>
    <row r="865" ht="14.25" customHeight="1" spans="1:7" x14ac:dyDescent="0.25">
      <c r="G865" s="62"/>
    </row>
    <row r="866" ht="14.25" customHeight="1" spans="1:7" x14ac:dyDescent="0.25">
      <c r="G866" s="62"/>
    </row>
    <row r="867" ht="14.25" customHeight="1" spans="1:7" x14ac:dyDescent="0.25">
      <c r="G867" s="62"/>
    </row>
    <row r="868" ht="14.25" customHeight="1" spans="1:7" x14ac:dyDescent="0.25">
      <c r="G868" s="62"/>
    </row>
    <row r="869" ht="14.25" customHeight="1" spans="1:7" x14ac:dyDescent="0.25">
      <c r="G869" s="62"/>
    </row>
    <row r="870" ht="14.25" customHeight="1" spans="1:7" x14ac:dyDescent="0.25">
      <c r="G870" s="62"/>
    </row>
    <row r="871" ht="14.25" customHeight="1" spans="1:7" x14ac:dyDescent="0.25">
      <c r="G871" s="62"/>
    </row>
    <row r="872" ht="14.25" customHeight="1" spans="1:7" x14ac:dyDescent="0.25">
      <c r="G872" s="62"/>
    </row>
    <row r="873" ht="14.25" customHeight="1" spans="1:7" x14ac:dyDescent="0.25">
      <c r="G873" s="62"/>
    </row>
    <row r="874" ht="14.25" customHeight="1" spans="1:7" x14ac:dyDescent="0.25">
      <c r="G874" s="62"/>
    </row>
    <row r="875" ht="14.25" customHeight="1" spans="1:7" x14ac:dyDescent="0.25">
      <c r="G875" s="62"/>
    </row>
    <row r="876" ht="14.25" customHeight="1" spans="1:7" x14ac:dyDescent="0.25">
      <c r="G876" s="62"/>
    </row>
    <row r="877" ht="14.25" customHeight="1" spans="1:7" x14ac:dyDescent="0.25">
      <c r="G877" s="62"/>
    </row>
    <row r="878" ht="14.25" customHeight="1" spans="1:7" x14ac:dyDescent="0.25">
      <c r="G878" s="62"/>
    </row>
    <row r="879" ht="14.25" customHeight="1" spans="1:7" x14ac:dyDescent="0.25">
      <c r="G879" s="62"/>
    </row>
    <row r="880" ht="14.25" customHeight="1" spans="1:7" x14ac:dyDescent="0.25">
      <c r="G880" s="62"/>
    </row>
    <row r="881" ht="14.25" customHeight="1" spans="1:7" x14ac:dyDescent="0.25">
      <c r="G881" s="62"/>
    </row>
    <row r="882" ht="14.25" customHeight="1" spans="1:7" x14ac:dyDescent="0.25">
      <c r="G882" s="62"/>
    </row>
    <row r="883" ht="14.25" customHeight="1" spans="1:7" x14ac:dyDescent="0.25">
      <c r="G883" s="62"/>
    </row>
    <row r="884" ht="14.25" customHeight="1" spans="1:7" x14ac:dyDescent="0.25">
      <c r="G884" s="62"/>
    </row>
    <row r="885" ht="14.25" customHeight="1" spans="1:7" x14ac:dyDescent="0.25">
      <c r="G885" s="62"/>
    </row>
    <row r="886" ht="14.25" customHeight="1" spans="1:7" x14ac:dyDescent="0.25">
      <c r="G886" s="62"/>
    </row>
    <row r="887" ht="14.25" customHeight="1" spans="1:7" x14ac:dyDescent="0.25">
      <c r="G887" s="62"/>
    </row>
    <row r="888" ht="14.25" customHeight="1" spans="1:7" x14ac:dyDescent="0.25">
      <c r="G888" s="62"/>
    </row>
    <row r="889" ht="14.25" customHeight="1" spans="1:7" x14ac:dyDescent="0.25">
      <c r="G889" s="62"/>
    </row>
    <row r="890" ht="14.25" customHeight="1" spans="1:7" x14ac:dyDescent="0.25">
      <c r="G890" s="62"/>
    </row>
    <row r="891" ht="14.25" customHeight="1" spans="1:7" x14ac:dyDescent="0.25">
      <c r="G891" s="62"/>
    </row>
    <row r="892" ht="14.25" customHeight="1" spans="1:7" x14ac:dyDescent="0.25">
      <c r="G892" s="62"/>
    </row>
    <row r="893" ht="14.25" customHeight="1" spans="1:7" x14ac:dyDescent="0.25">
      <c r="G893" s="62"/>
    </row>
    <row r="894" ht="14.25" customHeight="1" spans="1:7" x14ac:dyDescent="0.25">
      <c r="G894" s="62"/>
    </row>
    <row r="895" ht="14.25" customHeight="1" spans="1:7" x14ac:dyDescent="0.25">
      <c r="G895" s="62"/>
    </row>
    <row r="896" ht="14.25" customHeight="1" spans="1:7" x14ac:dyDescent="0.25">
      <c r="G896" s="62"/>
    </row>
    <row r="897" ht="14.25" customHeight="1" spans="1:7" x14ac:dyDescent="0.25">
      <c r="G897" s="62"/>
    </row>
    <row r="898" ht="14.25" customHeight="1" spans="1:7" x14ac:dyDescent="0.25">
      <c r="G898" s="62"/>
    </row>
    <row r="899" ht="14.25" customHeight="1" spans="1:7" x14ac:dyDescent="0.25">
      <c r="G899" s="62"/>
    </row>
    <row r="900" ht="14.25" customHeight="1" spans="1:7" x14ac:dyDescent="0.25">
      <c r="G900" s="62"/>
    </row>
    <row r="901" ht="14.25" customHeight="1" spans="1:7" x14ac:dyDescent="0.25">
      <c r="G901" s="62"/>
    </row>
    <row r="902" ht="14.25" customHeight="1" spans="1:7" x14ac:dyDescent="0.25">
      <c r="G902" s="62"/>
    </row>
    <row r="903" ht="14.25" customHeight="1" spans="1:7" x14ac:dyDescent="0.25">
      <c r="G903" s="62"/>
    </row>
    <row r="904" ht="14.25" customHeight="1" spans="1:7" x14ac:dyDescent="0.25">
      <c r="G904" s="62"/>
    </row>
    <row r="905" ht="14.25" customHeight="1" spans="1:7" x14ac:dyDescent="0.25">
      <c r="G905" s="62"/>
    </row>
    <row r="906" ht="14.25" customHeight="1" spans="1:7" x14ac:dyDescent="0.25">
      <c r="G906" s="62"/>
    </row>
    <row r="907" ht="14.25" customHeight="1" spans="1:7" x14ac:dyDescent="0.25">
      <c r="G907" s="62"/>
    </row>
    <row r="908" ht="14.25" customHeight="1" spans="1:7" x14ac:dyDescent="0.25">
      <c r="G908" s="62"/>
    </row>
    <row r="909" ht="14.25" customHeight="1" spans="1:7" x14ac:dyDescent="0.25">
      <c r="G909" s="62"/>
    </row>
    <row r="910" ht="14.25" customHeight="1" spans="1:7" x14ac:dyDescent="0.25">
      <c r="G910" s="62"/>
    </row>
    <row r="911" ht="14.25" customHeight="1" spans="1:7" x14ac:dyDescent="0.25">
      <c r="G911" s="62"/>
    </row>
    <row r="912" ht="14.25" customHeight="1" spans="1:7" x14ac:dyDescent="0.25">
      <c r="G912" s="62"/>
    </row>
    <row r="913" ht="14.25" customHeight="1" spans="1:7" x14ac:dyDescent="0.25">
      <c r="G913" s="62"/>
    </row>
    <row r="914" ht="14.25" customHeight="1" spans="1:7" x14ac:dyDescent="0.25">
      <c r="G914" s="62"/>
    </row>
    <row r="915" ht="14.25" customHeight="1" spans="1:7" x14ac:dyDescent="0.25">
      <c r="G915" s="62"/>
    </row>
    <row r="916" ht="14.25" customHeight="1" spans="1:7" x14ac:dyDescent="0.25">
      <c r="G916" s="62"/>
    </row>
    <row r="917" ht="14.25" customHeight="1" spans="1:7" x14ac:dyDescent="0.25">
      <c r="G917" s="62"/>
    </row>
    <row r="918" ht="14.25" customHeight="1" spans="1:7" x14ac:dyDescent="0.25">
      <c r="G918" s="62"/>
    </row>
    <row r="919" ht="14.25" customHeight="1" spans="1:7" x14ac:dyDescent="0.25">
      <c r="G919" s="62"/>
    </row>
    <row r="920" ht="14.25" customHeight="1" spans="1:7" x14ac:dyDescent="0.25">
      <c r="G920" s="62"/>
    </row>
    <row r="921" ht="14.25" customHeight="1" spans="1:7" x14ac:dyDescent="0.25">
      <c r="G921" s="62"/>
    </row>
    <row r="922" ht="14.25" customHeight="1" spans="1:7" x14ac:dyDescent="0.25">
      <c r="G922" s="62"/>
    </row>
    <row r="923" ht="14.25" customHeight="1" spans="1:7" x14ac:dyDescent="0.25">
      <c r="G923" s="62"/>
    </row>
    <row r="924" ht="14.25" customHeight="1" spans="1:7" x14ac:dyDescent="0.25">
      <c r="G924" s="62"/>
    </row>
    <row r="925" ht="14.25" customHeight="1" spans="1:7" x14ac:dyDescent="0.25">
      <c r="G925" s="62"/>
    </row>
    <row r="926" ht="14.25" customHeight="1" spans="1:7" x14ac:dyDescent="0.25">
      <c r="G926" s="62"/>
    </row>
    <row r="927" ht="14.25" customHeight="1" spans="1:7" x14ac:dyDescent="0.25">
      <c r="G927" s="62"/>
    </row>
    <row r="928" ht="14.25" customHeight="1" spans="1:7" x14ac:dyDescent="0.25">
      <c r="G928" s="62"/>
    </row>
    <row r="929" ht="14.25" customHeight="1" spans="1:7" x14ac:dyDescent="0.25">
      <c r="G929" s="62"/>
    </row>
    <row r="930" ht="14.25" customHeight="1" spans="1:7" x14ac:dyDescent="0.25">
      <c r="G930" s="62"/>
    </row>
    <row r="931" ht="14.25" customHeight="1" spans="1:7" x14ac:dyDescent="0.25">
      <c r="G931" s="62"/>
    </row>
    <row r="932" ht="14.25" customHeight="1" spans="1:7" x14ac:dyDescent="0.25">
      <c r="G932" s="62"/>
    </row>
    <row r="933" ht="14.25" customHeight="1" spans="1:7" x14ac:dyDescent="0.25">
      <c r="G933" s="62"/>
    </row>
    <row r="934" ht="14.25" customHeight="1" spans="1:7" x14ac:dyDescent="0.25">
      <c r="G934" s="62"/>
    </row>
    <row r="935" ht="14.25" customHeight="1" spans="1:7" x14ac:dyDescent="0.25">
      <c r="G935" s="62"/>
    </row>
    <row r="936" ht="14.25" customHeight="1" spans="1:7" x14ac:dyDescent="0.25">
      <c r="G936" s="62"/>
    </row>
    <row r="937" ht="14.25" customHeight="1" spans="1:7" x14ac:dyDescent="0.25">
      <c r="G937" s="62"/>
    </row>
    <row r="938" ht="14.25" customHeight="1" spans="1:7" x14ac:dyDescent="0.25">
      <c r="G938" s="62"/>
    </row>
    <row r="939" ht="14.25" customHeight="1" spans="1:7" x14ac:dyDescent="0.25">
      <c r="G939" s="62"/>
    </row>
    <row r="940" ht="14.25" customHeight="1" spans="1:7" x14ac:dyDescent="0.25">
      <c r="G940" s="62"/>
    </row>
    <row r="941" ht="14.25" customHeight="1" spans="1:7" x14ac:dyDescent="0.25">
      <c r="G941" s="62"/>
    </row>
    <row r="942" ht="14.25" customHeight="1" spans="1:7" x14ac:dyDescent="0.25">
      <c r="G942" s="62"/>
    </row>
    <row r="943" ht="14.25" customHeight="1" spans="1:7" x14ac:dyDescent="0.25">
      <c r="G943" s="62"/>
    </row>
    <row r="944" ht="14.25" customHeight="1" spans="1:7" x14ac:dyDescent="0.25">
      <c r="G944" s="62"/>
    </row>
    <row r="945" ht="14.25" customHeight="1" spans="1:7" x14ac:dyDescent="0.25">
      <c r="G945" s="62"/>
    </row>
    <row r="946" ht="14.25" customHeight="1" spans="1:7" x14ac:dyDescent="0.25">
      <c r="G946" s="62"/>
    </row>
    <row r="947" ht="14.25" customHeight="1" spans="1:7" x14ac:dyDescent="0.25">
      <c r="G947" s="62"/>
    </row>
    <row r="948" ht="14.25" customHeight="1" spans="1:7" x14ac:dyDescent="0.25">
      <c r="G948" s="62"/>
    </row>
    <row r="949" ht="14.25" customHeight="1" spans="1:7" x14ac:dyDescent="0.25">
      <c r="G949" s="62"/>
    </row>
    <row r="950" ht="14.25" customHeight="1" spans="1:7" x14ac:dyDescent="0.25">
      <c r="G950" s="62"/>
    </row>
    <row r="951" ht="14.25" customHeight="1" spans="1:7" x14ac:dyDescent="0.25">
      <c r="G951" s="62"/>
    </row>
    <row r="952" ht="14.25" customHeight="1" spans="1:7" x14ac:dyDescent="0.25">
      <c r="G952" s="62"/>
    </row>
    <row r="953" ht="14.25" customHeight="1" spans="1:7" x14ac:dyDescent="0.25">
      <c r="G953" s="62"/>
    </row>
    <row r="954" ht="14.25" customHeight="1" spans="1:7" x14ac:dyDescent="0.25">
      <c r="G954" s="62"/>
    </row>
    <row r="955" ht="14.25" customHeight="1" spans="1:7" x14ac:dyDescent="0.25">
      <c r="G955" s="62"/>
    </row>
    <row r="956" ht="14.25" customHeight="1" spans="1:7" x14ac:dyDescent="0.25">
      <c r="G956" s="62"/>
    </row>
    <row r="957" ht="14.25" customHeight="1" spans="1:7" x14ac:dyDescent="0.25">
      <c r="G957" s="62"/>
    </row>
    <row r="958" ht="14.25" customHeight="1" spans="1:7" x14ac:dyDescent="0.25">
      <c r="G958" s="62"/>
    </row>
    <row r="959" ht="14.25" customHeight="1" spans="1:7" x14ac:dyDescent="0.25">
      <c r="G959" s="62"/>
    </row>
    <row r="960" ht="14.25" customHeight="1" spans="1:7" x14ac:dyDescent="0.25">
      <c r="G960" s="62"/>
    </row>
    <row r="961" ht="14.25" customHeight="1" spans="1:7" x14ac:dyDescent="0.25">
      <c r="G961" s="62"/>
    </row>
    <row r="962" ht="14.25" customHeight="1" spans="1:7" x14ac:dyDescent="0.25">
      <c r="G962" s="62"/>
    </row>
    <row r="963" ht="14.25" customHeight="1" spans="1:7" x14ac:dyDescent="0.25">
      <c r="G963" s="62"/>
    </row>
    <row r="964" ht="14.25" customHeight="1" spans="1:7" x14ac:dyDescent="0.25">
      <c r="G964" s="62"/>
    </row>
    <row r="965" ht="14.25" customHeight="1" spans="1:7" x14ac:dyDescent="0.25">
      <c r="G965" s="62"/>
    </row>
    <row r="966" ht="14.25" customHeight="1" spans="1:7" x14ac:dyDescent="0.25">
      <c r="G966" s="62"/>
    </row>
    <row r="967" ht="14.25" customHeight="1" spans="1:7" x14ac:dyDescent="0.25">
      <c r="G967" s="62"/>
    </row>
    <row r="968" ht="14.25" customHeight="1" spans="1:7" x14ac:dyDescent="0.25">
      <c r="G968" s="62"/>
    </row>
    <row r="969" ht="14.25" customHeight="1" spans="1:7" x14ac:dyDescent="0.25">
      <c r="G969" s="62"/>
    </row>
    <row r="970" ht="14.25" customHeight="1" spans="1:7" x14ac:dyDescent="0.25">
      <c r="G970" s="62"/>
    </row>
    <row r="971" ht="14.25" customHeight="1" spans="1:7" x14ac:dyDescent="0.25">
      <c r="G971" s="62"/>
    </row>
    <row r="972" ht="14.25" customHeight="1" spans="1:7" x14ac:dyDescent="0.25">
      <c r="G972" s="62"/>
    </row>
    <row r="973" ht="14.25" customHeight="1" spans="1:7" x14ac:dyDescent="0.25">
      <c r="G973" s="62"/>
    </row>
    <row r="974" ht="14.25" customHeight="1" spans="1:7" x14ac:dyDescent="0.25">
      <c r="G974" s="62"/>
    </row>
    <row r="975" ht="14.25" customHeight="1" spans="1:7" x14ac:dyDescent="0.25">
      <c r="G975" s="62"/>
    </row>
    <row r="976" ht="14.25" customHeight="1" spans="1:7" x14ac:dyDescent="0.25">
      <c r="G976" s="62"/>
    </row>
    <row r="977" ht="14.25" customHeight="1" spans="1:7" x14ac:dyDescent="0.25">
      <c r="G977" s="62"/>
    </row>
    <row r="978" ht="14.25" customHeight="1" spans="1:7" x14ac:dyDescent="0.25">
      <c r="G978" s="62"/>
    </row>
    <row r="979" ht="14.25" customHeight="1" spans="1:7" x14ac:dyDescent="0.25">
      <c r="G979" s="62"/>
    </row>
    <row r="980" ht="14.25" customHeight="1" spans="1:7" x14ac:dyDescent="0.25">
      <c r="G980" s="62"/>
    </row>
    <row r="981" ht="14.25" customHeight="1" spans="1:7" x14ac:dyDescent="0.25">
      <c r="G981" s="62"/>
    </row>
    <row r="982" ht="14.25" customHeight="1" spans="1:7" x14ac:dyDescent="0.25">
      <c r="G982" s="62"/>
    </row>
    <row r="983" ht="14.25" customHeight="1" spans="1:7" x14ac:dyDescent="0.25">
      <c r="G983" s="62"/>
    </row>
    <row r="984" ht="14.25" customHeight="1" spans="1:7" x14ac:dyDescent="0.25">
      <c r="G984" s="62"/>
    </row>
    <row r="985" ht="14.25" customHeight="1" spans="1:7" x14ac:dyDescent="0.25">
      <c r="G985" s="62"/>
    </row>
    <row r="986" ht="14.25" customHeight="1" spans="1:7" x14ac:dyDescent="0.25">
      <c r="G986" s="62"/>
    </row>
    <row r="987" ht="14.25" customHeight="1" spans="1:7" x14ac:dyDescent="0.25">
      <c r="G987" s="62"/>
    </row>
    <row r="988" ht="14.25" customHeight="1" spans="1:7" x14ac:dyDescent="0.25">
      <c r="G988" s="62"/>
    </row>
    <row r="989" ht="14.25" customHeight="1" spans="1:7" x14ac:dyDescent="0.25">
      <c r="G989" s="62"/>
    </row>
    <row r="990" ht="14.25" customHeight="1" spans="1:7" x14ac:dyDescent="0.25">
      <c r="G990" s="62"/>
    </row>
    <row r="991" ht="14.25" customHeight="1" spans="1:7" x14ac:dyDescent="0.25">
      <c r="G991" s="62"/>
    </row>
    <row r="992" ht="14.25" customHeight="1" spans="1:7" x14ac:dyDescent="0.25">
      <c r="G992" s="62"/>
    </row>
    <row r="993" ht="14.25" customHeight="1" spans="1:7" x14ac:dyDescent="0.25">
      <c r="G993" s="62"/>
    </row>
    <row r="994" ht="14.25" customHeight="1" spans="1:7" x14ac:dyDescent="0.25">
      <c r="G994" s="62"/>
    </row>
    <row r="995" ht="14.25" customHeight="1" spans="1:7" x14ac:dyDescent="0.25">
      <c r="G995" s="62"/>
    </row>
    <row r="996" ht="14.25" customHeight="1" spans="1:7" x14ac:dyDescent="0.25">
      <c r="G996" s="62"/>
    </row>
    <row r="997" ht="14.25" customHeight="1" spans="1:7" x14ac:dyDescent="0.25">
      <c r="G997" s="62"/>
    </row>
    <row r="998" ht="14.25" customHeight="1" spans="1:7" x14ac:dyDescent="0.25">
      <c r="G998" s="62"/>
    </row>
    <row r="999" ht="14.25" customHeight="1" spans="1:7" x14ac:dyDescent="0.25">
      <c r="G999" s="62"/>
    </row>
    <row r="1000" ht="14.25" customHeight="1" spans="1:7" x14ac:dyDescent="0.25">
      <c r="G1000" s="6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F8F00"/>
  </sheetPr>
  <dimension ref="A1:H1000"/>
  <sheetViews>
    <sheetView workbookViewId="0" zoomScale="100" zoomScaleNormal="100">
      <pane ySplit="5" topLeftCell="A6" activePane="bottomLeft" state="frozen"/>
      <selection pane="bottomLeft" activeCell="B7" sqref="B7"/>
    </sheetView>
  </sheetViews>
  <sheetFormatPr defaultRowHeight="15" outlineLevelRow="0" outlineLevelCol="1" x14ac:dyDescent="0" defaultColWidth="14.43"/>
  <cols>
    <col min="1" max="1" width="6" customWidth="1"/>
    <col min="2" max="2" width="18" customWidth="1"/>
    <col min="3" max="3" width="24" customWidth="1"/>
    <col min="4" max="4" width="16" customWidth="1"/>
    <col min="5" max="5" width="18" customWidth="1"/>
    <col min="6" max="6" width="32.86" customWidth="1"/>
    <col min="7" max="7" width="52" customWidth="1"/>
    <col min="8" max="8" width="20" customWidth="1"/>
    <col min="9" max="26" width="8.71" customWidth="1"/>
  </cols>
  <sheetData>
    <row r="1" ht="18" customHeight="1" spans="1:2" x14ac:dyDescent="0.25">
      <c r="B1" s="74" t="s">
        <v>549</v>
      </c>
    </row>
    <row r="2" ht="14.25" customHeight="1" spans="1:5" x14ac:dyDescent="0.25">
      <c r="B2" s="75" t="s">
        <v>550</v>
      </c>
      <c r="C2" s="76">
        <f>MONTH(TODAY())</f>
        <v>9</v>
      </c>
      <c r="D2" s="75" t="s">
        <v>551</v>
      </c>
      <c r="E2" s="76">
        <f>YEAR(TODAY())</f>
        <v>2026</v>
      </c>
    </row>
    <row r="3" ht="14.25" customHeight="1" spans="1:7" x14ac:dyDescent="0.25">
      <c r="B3" s="75" t="s">
        <v>552</v>
      </c>
      <c r="C3" s="77">
        <f>SUMPRODUCT(('02_DS_Nhan_Viec'!$L$2:$L$150&lt;&gt;"")*1)</f>
        <v>12</v>
      </c>
      <c r="D3" s="75" t="s">
        <v>553</v>
      </c>
      <c r="E3" s="77">
        <f>SUMPRODUCT(('02_DS_Nhan_Viec'!$L$2:$L$150&lt;&gt;"")*ISNUMBER(SEARCH("Đã nhận việc",'02_DS_Nhan_Viec'!$F$2:$F$150)))</f>
        <v>5</v>
      </c>
      <c r="F3" s="75" t="s">
        <v>554</v>
      </c>
      <c r="G3" s="77">
        <f>SUMPRODUCT(('02_DS_Nhan_Viec'!$L$2:$L$150&lt;&gt;"")*ISNUMBER(SEARCH("Không đến",'02_DS_Nhan_Viec'!$F$2:$F$150)))</f>
      </c>
    </row>
    <row r="4" ht="14.25" customHeight="1" x14ac:dyDescent="0.25"/>
    <row r="5" ht="30" customHeight="1" spans="1:8" x14ac:dyDescent="0.25">
      <c r="A5" s="51" t="s">
        <v>33</v>
      </c>
      <c r="B5" s="51" t="s">
        <v>555</v>
      </c>
      <c r="C5" s="51" t="s">
        <v>541</v>
      </c>
      <c r="D5" s="51" t="s">
        <v>130</v>
      </c>
      <c r="E5" s="51" t="s">
        <v>489</v>
      </c>
      <c r="F5" s="51" t="s">
        <v>556</v>
      </c>
      <c r="G5" s="51" t="s">
        <v>132</v>
      </c>
      <c r="H5" s="51" t="s">
        <v>133</v>
      </c>
    </row>
    <row r="6" ht="14.25" customHeight="1" spans="1:8" x14ac:dyDescent="0.25">
      <c r="A6" s="78">
        <v>1</v>
      </c>
      <c r="B6" s="79" t="str">
        <f t="array" ref="B6">IFERROR(INDEX('02_DS_Nhan_Viec'!$B:$B,MATCH(1,'02_DS_Nhan_Viec'!$L:$L,0)),"")</f>
        <v>UV0826-023</v>
      </c>
      <c r="C6" s="79" t="str">
        <f t="array" ref="C6">IFERROR(INDEX('02_DS_Nhan_Viec'!$C:$C,MATCH(1,'02_DS_Nhan_Viec'!$L:$L,0)),"")</f>
        <v>Nguyễn Văn Triết</v>
      </c>
      <c r="D6" s="80">
        <f t="array" ref="D6">IFERROR(INDEX('02_DS_Nhan_Viec'!$D:$D,MATCH(1,'02_DS_Nhan_Viec'!$L:$L,0)),"")</f>
        <v>46268</v>
      </c>
      <c r="E6" s="80">
        <f t="array" ref="E6">IFERROR(INDEX('02_DS_Nhan_Viec'!$E:$E,MATCH(1,'02_DS_Nhan_Viec'!$L:$L,0)),"")</f>
        <v>46268</v>
      </c>
      <c r="F6" s="79" t="str">
        <f t="array" ref="F6">IFERROR(INDEX('02_DS_Nhan_Viec'!$F:$F,MATCH(1,'02_DS_Nhan_Viec'!$L:$L,0)),"")</f>
        <v>✅ Đã nhận việc - Đúng hẹn</v>
      </c>
      <c r="G6" s="79">
        <f t="array" ref="G6">IFERROR(INDEX('02_DS_Nhan_Viec'!$K:$K,MATCH(1,'02_DS_Nhan_Viec'!$L:$L,0)),"")</f>
      </c>
      <c r="H6" s="61" t="str">
        <f t="array" ref="H6">IF($B6="","",IF(IFERROR(INDEX('02_DS_Nhan_Viec'!$J:$J,MATCH($B6,'02_DS_Nhan_Viec'!$B:$B,0)),"")="","Đang theo dõi",IF(OR(ISNUMBER(SEARCH("Không đủ điều kiện",IFERROR(INDEX('05_Theo_Doi_Gio_Cong_7_Ngay'!$Q:$Q,MATCH(IFERROR(INDEX('02_DS_Nhan_Viec'!$J:$J,MATCH($B6,'02_DS_Nhan_Viec'!$B:$B,0)),""),'05_Theo_Doi_Gio_Cong_7_Ngay'!$B:$B,0)),""))),ISNUMBER(SEARCH("Đủ 7 ngày nhưng",IFERROR(INDEX('05_Theo_Doi_Gio_Cong_7_Ngay'!$Q:$Q,MATCH(IFERROR(INDEX('02_DS_Nhan_Viec'!$J:$J,MATCH($B6,'02_DS_Nhan_Viec'!$B:$B,0)),""),'05_Theo_Doi_Gio_Cong_7_Ngay'!$B:$B,0)),"")))),"Đã nghỉ",IF(AND(OR(ISNUMBER(SEARCH("Đủ điều kiện",IFERROR(INDEX('05_Theo_Doi_Gio_Cong_7_Ngay'!$Q:$Q,MATCH(IFERROR(INDEX('02_DS_Nhan_Viec'!$J:$J,MATCH($B6,'02_DS_Nhan_Viec'!$B:$B,0)),""),'05_Theo_Doi_Gio_Cong_7_Ngay'!$B:$B,0)),""))),ISNUMBER(SEARCH("Đã có số thẻ",IFERROR(INDEX('05_Theo_Doi_Gio_Cong_7_Ngay'!$Q:$Q,MATCH(IFERROR(INDEX('02_DS_Nhan_Viec'!$J:$J,MATCH($B6,'02_DS_Nhan_Viec'!$B:$B,0)),""),'05_Theo_Doi_Gio_Cong_7_Ngay'!$B:$B,0)),"")))),IFERROR(INDEX('05_Theo_Doi_Gio_Cong_7_Ngay'!$R:$R,MATCH(IFERROR(INDEX('02_DS_Nhan_Viec'!$J:$J,MATCH($B6,'02_DS_Nhan_Viec'!$B:$B,0)),""),'05_Theo_Doi_Gio_Cong_7_Ngay'!$B:$B,0)),"")&lt;&gt;""),IFERROR(INDEX('06_DS_Chinh_Thuc'!$K:$K,MATCH(IFERROR(INDEX('05_Theo_Doi_Gio_Cong_7_Ngay'!$R:$R,MATCH(IFERROR(INDEX('02_DS_Nhan_Viec'!$J:$J,MATCH($B6,'02_DS_Nhan_Viec'!$B:$B,0)),""),'05_Theo_Doi_Gio_Cong_7_Ngay'!$B:$B,0)),""),'06_DS_Chinh_Thuc'!$B:$B,0)),"Đang theo dõi"),"Đang theo dõi"))))</f>
        <v>Đang theo dõi</v>
      </c>
    </row>
    <row r="7" ht="14.25" customHeight="1" spans="1:8" x14ac:dyDescent="0.25">
      <c r="A7" s="78">
        <v>2</v>
      </c>
      <c r="B7" s="79" t="str">
        <f t="array" ref="B7">IFERROR(INDEX('02_DS_Nhan_Viec'!$B:$B,MATCH(2,'02_DS_Nhan_Viec'!$L:$L,0)),"")</f>
        <v>UV0826-024</v>
      </c>
      <c r="C7" s="79" t="str">
        <f t="array" ref="C7">IFERROR(INDEX('02_DS_Nhan_Viec'!$C:$C,MATCH(2,'02_DS_Nhan_Viec'!$L:$L,0)),"")</f>
        <v>Trần Thị Thuỳ</v>
      </c>
      <c r="D7" s="80">
        <f t="array" ref="D7">IFERROR(INDEX('02_DS_Nhan_Viec'!$D:$D,MATCH(2,'02_DS_Nhan_Viec'!$L:$L,0)),"")</f>
        <v>46268</v>
      </c>
      <c r="E7" s="80">
        <f t="array" ref="E7">IFERROR(INDEX('02_DS_Nhan_Viec'!$E:$E,MATCH(2,'02_DS_Nhan_Viec'!$L:$L,0)),"")</f>
        <v>46268</v>
      </c>
      <c r="F7" s="79" t="str">
        <f t="array" ref="F7">IFERROR(INDEX('02_DS_Nhan_Viec'!$F:$F,MATCH(2,'02_DS_Nhan_Viec'!$L:$L,0)),"")</f>
        <v>✅ Đã nhận việc - Đúng hẹn</v>
      </c>
      <c r="G7" s="79">
        <f t="array" ref="G7">IFERROR(INDEX('02_DS_Nhan_Viec'!$K:$K,MATCH(2,'02_DS_Nhan_Viec'!$L:$L,0)),"")</f>
      </c>
      <c r="H7" s="61" t="str">
        <f t="array" ref="H7">IF($B7="","",IF(IFERROR(INDEX('02_DS_Nhan_Viec'!$J:$J,MATCH($B7,'02_DS_Nhan_Viec'!$B:$B,0)),"")="","Đang theo dõi",IF(OR(ISNUMBER(SEARCH("Không đủ điều kiện",IFERROR(INDEX('05_Theo_Doi_Gio_Cong_7_Ngay'!$Q:$Q,MATCH(IFERROR(INDEX('02_DS_Nhan_Viec'!$J:$J,MATCH($B7,'02_DS_Nhan_Viec'!$B:$B,0)),""),'05_Theo_Doi_Gio_Cong_7_Ngay'!$B:$B,0)),""))),ISNUMBER(SEARCH("Đủ 7 ngày nhưng",IFERROR(INDEX('05_Theo_Doi_Gio_Cong_7_Ngay'!$Q:$Q,MATCH(IFERROR(INDEX('02_DS_Nhan_Viec'!$J:$J,MATCH($B7,'02_DS_Nhan_Viec'!$B:$B,0)),""),'05_Theo_Doi_Gio_Cong_7_Ngay'!$B:$B,0)),"")))),"Đã nghỉ",IF(AND(OR(ISNUMBER(SEARCH("Đủ điều kiện",IFERROR(INDEX('05_Theo_Doi_Gio_Cong_7_Ngay'!$Q:$Q,MATCH(IFERROR(INDEX('02_DS_Nhan_Viec'!$J:$J,MATCH($B7,'02_DS_Nhan_Viec'!$B:$B,0)),""),'05_Theo_Doi_Gio_Cong_7_Ngay'!$B:$B,0)),""))),ISNUMBER(SEARCH("Đã có số thẻ",IFERROR(INDEX('05_Theo_Doi_Gio_Cong_7_Ngay'!$Q:$Q,MATCH(IFERROR(INDEX('02_DS_Nhan_Viec'!$J:$J,MATCH($B7,'02_DS_Nhan_Viec'!$B:$B,0)),""),'05_Theo_Doi_Gio_Cong_7_Ngay'!$B:$B,0)),"")))),IFERROR(INDEX('05_Theo_Doi_Gio_Cong_7_Ngay'!$R:$R,MATCH(IFERROR(INDEX('02_DS_Nhan_Viec'!$J:$J,MATCH($B7,'02_DS_Nhan_Viec'!$B:$B,0)),""),'05_Theo_Doi_Gio_Cong_7_Ngay'!$B:$B,0)),"")&lt;&gt;""),IFERROR(INDEX('06_DS_Chinh_Thuc'!$K:$K,MATCH(IFERROR(INDEX('05_Theo_Doi_Gio_Cong_7_Ngay'!$R:$R,MATCH(IFERROR(INDEX('02_DS_Nhan_Viec'!$J:$J,MATCH($B7,'02_DS_Nhan_Viec'!$B:$B,0)),""),'05_Theo_Doi_Gio_Cong_7_Ngay'!$B:$B,0)),""),'06_DS_Chinh_Thuc'!$B:$B,0)),"Đang theo dõi"),"Đang theo dõi"))))</f>
        <v>Đang theo dõi</v>
      </c>
    </row>
    <row r="8" ht="14.25" customHeight="1" spans="1:8" x14ac:dyDescent="0.25">
      <c r="A8" s="78">
        <v>3</v>
      </c>
      <c r="B8" s="79" t="str">
        <f t="array" ref="B8">IFERROR(INDEX('02_DS_Nhan_Viec'!$B:$B,MATCH(3,'02_DS_Nhan_Viec'!$L:$L,0)),"")</f>
        <v>UV0926-001</v>
      </c>
      <c r="C8" s="79" t="str">
        <f t="array" ref="C8">IFERROR(INDEX('02_DS_Nhan_Viec'!$C:$C,MATCH(3,'02_DS_Nhan_Viec'!$L:$L,0)),"")</f>
        <v>Nguyễn Tuyết Ngân</v>
      </c>
      <c r="D8" s="80">
        <f t="array" ref="D8">IFERROR(INDEX('02_DS_Nhan_Viec'!$D:$D,MATCH(3,'02_DS_Nhan_Viec'!$L:$L,0)),"")</f>
        <v>46269</v>
      </c>
      <c r="E8" s="80">
        <f t="array" ref="E8">IFERROR(INDEX('02_DS_Nhan_Viec'!$E:$E,MATCH(3,'02_DS_Nhan_Viec'!$L:$L,0)),"")</f>
        <v>46270</v>
      </c>
      <c r="F8" s="79" t="str">
        <f t="array" ref="F8">IFERROR(INDEX('02_DS_Nhan_Viec'!$F:$F,MATCH(3,'02_DS_Nhan_Viec'!$L:$L,0)),"")</f>
        <v>⚠ Đã nhận việc - Trễ 1 ngày</v>
      </c>
      <c r="G8" s="79">
        <f t="array" ref="G8">IFERROR(INDEX('02_DS_Nhan_Viec'!$K:$K,MATCH(3,'02_DS_Nhan_Viec'!$L:$L,0)),"")</f>
      </c>
      <c r="H8" s="61" t="str">
        <f t="array" ref="H8">IF($B8="","",IF(IFERROR(INDEX('02_DS_Nhan_Viec'!$J:$J,MATCH($B8,'02_DS_Nhan_Viec'!$B:$B,0)),"")="","Đang theo dõi",IF(OR(ISNUMBER(SEARCH("Không đủ điều kiện",IFERROR(INDEX('05_Theo_Doi_Gio_Cong_7_Ngay'!$Q:$Q,MATCH(IFERROR(INDEX('02_DS_Nhan_Viec'!$J:$J,MATCH($B8,'02_DS_Nhan_Viec'!$B:$B,0)),""),'05_Theo_Doi_Gio_Cong_7_Ngay'!$B:$B,0)),""))),ISNUMBER(SEARCH("Đủ 7 ngày nhưng",IFERROR(INDEX('05_Theo_Doi_Gio_Cong_7_Ngay'!$Q:$Q,MATCH(IFERROR(INDEX('02_DS_Nhan_Viec'!$J:$J,MATCH($B8,'02_DS_Nhan_Viec'!$B:$B,0)),""),'05_Theo_Doi_Gio_Cong_7_Ngay'!$B:$B,0)),"")))),"Đã nghỉ",IF(AND(OR(ISNUMBER(SEARCH("Đủ điều kiện",IFERROR(INDEX('05_Theo_Doi_Gio_Cong_7_Ngay'!$Q:$Q,MATCH(IFERROR(INDEX('02_DS_Nhan_Viec'!$J:$J,MATCH($B8,'02_DS_Nhan_Viec'!$B:$B,0)),""),'05_Theo_Doi_Gio_Cong_7_Ngay'!$B:$B,0)),""))),ISNUMBER(SEARCH("Đã có số thẻ",IFERROR(INDEX('05_Theo_Doi_Gio_Cong_7_Ngay'!$Q:$Q,MATCH(IFERROR(INDEX('02_DS_Nhan_Viec'!$J:$J,MATCH($B8,'02_DS_Nhan_Viec'!$B:$B,0)),""),'05_Theo_Doi_Gio_Cong_7_Ngay'!$B:$B,0)),"")))),IFERROR(INDEX('05_Theo_Doi_Gio_Cong_7_Ngay'!$R:$R,MATCH(IFERROR(INDEX('02_DS_Nhan_Viec'!$J:$J,MATCH($B8,'02_DS_Nhan_Viec'!$B:$B,0)),""),'05_Theo_Doi_Gio_Cong_7_Ngay'!$B:$B,0)),"")&lt;&gt;""),IFERROR(INDEX('06_DS_Chinh_Thuc'!$K:$K,MATCH(IFERROR(INDEX('05_Theo_Doi_Gio_Cong_7_Ngay'!$R:$R,MATCH(IFERROR(INDEX('02_DS_Nhan_Viec'!$J:$J,MATCH($B8,'02_DS_Nhan_Viec'!$B:$B,0)),""),'05_Theo_Doi_Gio_Cong_7_Ngay'!$B:$B,0)),""),'06_DS_Chinh_Thuc'!$B:$B,0)),"Đang theo dõi"),"Đang theo dõi"))))</f>
        <v>Đang theo dõi</v>
      </c>
    </row>
    <row r="9" ht="14.25" customHeight="1" spans="1:8" x14ac:dyDescent="0.25">
      <c r="A9" s="78">
        <v>4</v>
      </c>
      <c r="B9" s="79" t="str">
        <f t="array" ref="B9">IFERROR(INDEX('02_DS_Nhan_Viec'!$B:$B,MATCH(4,'02_DS_Nhan_Viec'!$L:$L,0)),"")</f>
        <v>UV0926-002</v>
      </c>
      <c r="C9" s="79" t="str">
        <f t="array" ref="C9">IFERROR(INDEX('02_DS_Nhan_Viec'!$C:$C,MATCH(4,'02_DS_Nhan_Viec'!$L:$L,0)),"")</f>
        <v>Thạch Thị Giàu</v>
      </c>
      <c r="D9" s="80">
        <f t="array" ref="D9">IFERROR(INDEX('02_DS_Nhan_Viec'!$D:$D,MATCH(4,'02_DS_Nhan_Viec'!$L:$L,0)),"")</f>
        <v>46269</v>
      </c>
      <c r="E9" s="80">
        <f t="array" ref="E9">IFERROR(INDEX('02_DS_Nhan_Viec'!$E:$E,MATCH(4,'02_DS_Nhan_Viec'!$L:$L,0)),"")</f>
        <v>46270</v>
      </c>
      <c r="F9" s="79" t="str">
        <f t="array" ref="F9">IFERROR(INDEX('02_DS_Nhan_Viec'!$F:$F,MATCH(4,'02_DS_Nhan_Viec'!$L:$L,0)),"")</f>
        <v>⚠ Đã nhận việc - Trễ 1 ngày</v>
      </c>
      <c r="G9" s="79">
        <f t="array" ref="G9">IFERROR(INDEX('02_DS_Nhan_Viec'!$K:$K,MATCH(4,'02_DS_Nhan_Viec'!$L:$L,0)),"")</f>
      </c>
      <c r="H9" s="61" t="str">
        <f t="array" ref="H9">IF($B9="","",IF(IFERROR(INDEX('02_DS_Nhan_Viec'!$J:$J,MATCH($B9,'02_DS_Nhan_Viec'!$B:$B,0)),"")="","Đang theo dõi",IF(OR(ISNUMBER(SEARCH("Không đủ điều kiện",IFERROR(INDEX('05_Theo_Doi_Gio_Cong_7_Ngay'!$Q:$Q,MATCH(IFERROR(INDEX('02_DS_Nhan_Viec'!$J:$J,MATCH($B9,'02_DS_Nhan_Viec'!$B:$B,0)),""),'05_Theo_Doi_Gio_Cong_7_Ngay'!$B:$B,0)),""))),ISNUMBER(SEARCH("Đủ 7 ngày nhưng",IFERROR(INDEX('05_Theo_Doi_Gio_Cong_7_Ngay'!$Q:$Q,MATCH(IFERROR(INDEX('02_DS_Nhan_Viec'!$J:$J,MATCH($B9,'02_DS_Nhan_Viec'!$B:$B,0)),""),'05_Theo_Doi_Gio_Cong_7_Ngay'!$B:$B,0)),"")))),"Đã nghỉ",IF(AND(OR(ISNUMBER(SEARCH("Đủ điều kiện",IFERROR(INDEX('05_Theo_Doi_Gio_Cong_7_Ngay'!$Q:$Q,MATCH(IFERROR(INDEX('02_DS_Nhan_Viec'!$J:$J,MATCH($B9,'02_DS_Nhan_Viec'!$B:$B,0)),""),'05_Theo_Doi_Gio_Cong_7_Ngay'!$B:$B,0)),""))),ISNUMBER(SEARCH("Đã có số thẻ",IFERROR(INDEX('05_Theo_Doi_Gio_Cong_7_Ngay'!$Q:$Q,MATCH(IFERROR(INDEX('02_DS_Nhan_Viec'!$J:$J,MATCH($B9,'02_DS_Nhan_Viec'!$B:$B,0)),""),'05_Theo_Doi_Gio_Cong_7_Ngay'!$B:$B,0)),"")))),IFERROR(INDEX('05_Theo_Doi_Gio_Cong_7_Ngay'!$R:$R,MATCH(IFERROR(INDEX('02_DS_Nhan_Viec'!$J:$J,MATCH($B9,'02_DS_Nhan_Viec'!$B:$B,0)),""),'05_Theo_Doi_Gio_Cong_7_Ngay'!$B:$B,0)),"")&lt;&gt;""),IFERROR(INDEX('06_DS_Chinh_Thuc'!$K:$K,MATCH(IFERROR(INDEX('05_Theo_Doi_Gio_Cong_7_Ngay'!$R:$R,MATCH(IFERROR(INDEX('02_DS_Nhan_Viec'!$J:$J,MATCH($B9,'02_DS_Nhan_Viec'!$B:$B,0)),""),'05_Theo_Doi_Gio_Cong_7_Ngay'!$B:$B,0)),""),'06_DS_Chinh_Thuc'!$B:$B,0)),"Đang theo dõi"),"Đang theo dõi"))))</f>
        <v>Đang theo dõi</v>
      </c>
    </row>
    <row r="10" ht="14.25" customHeight="1" spans="1:8" x14ac:dyDescent="0.25">
      <c r="A10" s="78">
        <v>5</v>
      </c>
      <c r="B10" s="79" t="str">
        <f t="array" ref="B10">IFERROR(INDEX('02_DS_Nhan_Viec'!$B:$B,MATCH(5,'02_DS_Nhan_Viec'!$L:$L,0)),"")</f>
        <v>UV0926-003</v>
      </c>
      <c r="C10" s="79" t="str">
        <f t="array" ref="C10">IFERROR(INDEX('02_DS_Nhan_Viec'!$C:$C,MATCH(5,'02_DS_Nhan_Viec'!$L:$L,0)),"")</f>
        <v>Nguyễn Văn Mỹ</v>
      </c>
      <c r="D10" s="80">
        <f t="array" ref="D10">IFERROR(INDEX('02_DS_Nhan_Viec'!$D:$D,MATCH(5,'02_DS_Nhan_Viec'!$L:$L,0)),"")</f>
        <v>46270</v>
      </c>
      <c r="E10" s="80">
        <f t="array" ref="E10">IFERROR(INDEX('02_DS_Nhan_Viec'!$E:$E,MATCH(5,'02_DS_Nhan_Viec'!$L:$L,0)),"")</f>
      </c>
      <c r="F10" s="79" t="str">
        <f t="array" ref="F10">IFERROR(INDEX('02_DS_Nhan_Viec'!$F:$F,MATCH(5,'02_DS_Nhan_Viec'!$L:$L,0)),"")</f>
        <v>⏳ Hôm nay là ngày hẹn - Chờ xác nhận</v>
      </c>
      <c r="G10" s="79">
        <f t="array" ref="G10">IFERROR(INDEX('02_DS_Nhan_Viec'!$K:$K,MATCH(5,'02_DS_Nhan_Viec'!$L:$L,0)),"")</f>
      </c>
      <c r="H10" s="61" t="str">
        <f t="array" ref="H10">IF($B10="","",IF(IFERROR(INDEX('02_DS_Nhan_Viec'!$J:$J,MATCH($B10,'02_DS_Nhan_Viec'!$B:$B,0)),"")="","Đang theo dõi",IF(OR(ISNUMBER(SEARCH("Không đủ điều kiện",IFERROR(INDEX('05_Theo_Doi_Gio_Cong_7_Ngay'!$Q:$Q,MATCH(IFERROR(INDEX('02_DS_Nhan_Viec'!$J:$J,MATCH($B10,'02_DS_Nhan_Viec'!$B:$B,0)),""),'05_Theo_Doi_Gio_Cong_7_Ngay'!$B:$B,0)),""))),ISNUMBER(SEARCH("Đủ 7 ngày nhưng",IFERROR(INDEX('05_Theo_Doi_Gio_Cong_7_Ngay'!$Q:$Q,MATCH(IFERROR(INDEX('02_DS_Nhan_Viec'!$J:$J,MATCH($B10,'02_DS_Nhan_Viec'!$B:$B,0)),""),'05_Theo_Doi_Gio_Cong_7_Ngay'!$B:$B,0)),"")))),"Đã nghỉ",IF(AND(OR(ISNUMBER(SEARCH("Đủ điều kiện",IFERROR(INDEX('05_Theo_Doi_Gio_Cong_7_Ngay'!$Q:$Q,MATCH(IFERROR(INDEX('02_DS_Nhan_Viec'!$J:$J,MATCH($B10,'02_DS_Nhan_Viec'!$B:$B,0)),""),'05_Theo_Doi_Gio_Cong_7_Ngay'!$B:$B,0)),""))),ISNUMBER(SEARCH("Đã có số thẻ",IFERROR(INDEX('05_Theo_Doi_Gio_Cong_7_Ngay'!$Q:$Q,MATCH(IFERROR(INDEX('02_DS_Nhan_Viec'!$J:$J,MATCH($B10,'02_DS_Nhan_Viec'!$B:$B,0)),""),'05_Theo_Doi_Gio_Cong_7_Ngay'!$B:$B,0)),"")))),IFERROR(INDEX('05_Theo_Doi_Gio_Cong_7_Ngay'!$R:$R,MATCH(IFERROR(INDEX('02_DS_Nhan_Viec'!$J:$J,MATCH($B10,'02_DS_Nhan_Viec'!$B:$B,0)),""),'05_Theo_Doi_Gio_Cong_7_Ngay'!$B:$B,0)),"")&lt;&gt;""),IFERROR(INDEX('06_DS_Chinh_Thuc'!$K:$K,MATCH(IFERROR(INDEX('05_Theo_Doi_Gio_Cong_7_Ngay'!$R:$R,MATCH(IFERROR(INDEX('02_DS_Nhan_Viec'!$J:$J,MATCH($B10,'02_DS_Nhan_Viec'!$B:$B,0)),""),'05_Theo_Doi_Gio_Cong_7_Ngay'!$B:$B,0)),""),'06_DS_Chinh_Thuc'!$B:$B,0)),"Đang theo dõi"),"Đang theo dõi"))))</f>
        <v>Đang theo dõi</v>
      </c>
    </row>
    <row r="11" ht="14.25" customHeight="1" spans="1:8" x14ac:dyDescent="0.25">
      <c r="A11" s="78">
        <v>6</v>
      </c>
      <c r="B11" s="79" t="str">
        <f t="array" ref="B11">IFERROR(INDEX('02_DS_Nhan_Viec'!$B:$B,MATCH(6,'02_DS_Nhan_Viec'!$L:$L,0)),"")</f>
        <v>UV0926-004</v>
      </c>
      <c r="C11" s="79" t="str">
        <f t="array" ref="C11">IFERROR(INDEX('02_DS_Nhan_Viec'!$C:$C,MATCH(6,'02_DS_Nhan_Viec'!$L:$L,0)),"")</f>
        <v>Đỗ Trần Mỹ Trúc</v>
      </c>
      <c r="D11" s="80">
        <f t="array" ref="D11">IFERROR(INDEX('02_DS_Nhan_Viec'!$D:$D,MATCH(6,'02_DS_Nhan_Viec'!$L:$L,0)),"")</f>
        <v>46272</v>
      </c>
      <c r="E11" s="80">
        <f t="array" ref="E11">IFERROR(INDEX('02_DS_Nhan_Viec'!$E:$E,MATCH(6,'02_DS_Nhan_Viec'!$L:$L,0)),"")</f>
      </c>
      <c r="F11" s="79" t="str">
        <f t="array" ref="F11">IFERROR(INDEX('02_DS_Nhan_Viec'!$F:$F,MATCH(6,'02_DS_Nhan_Viec'!$L:$L,0)),"")</f>
        <v>🕓 Chưa đến ngày hẹn</v>
      </c>
      <c r="G11" s="79">
        <f t="array" ref="G11">IFERROR(INDEX('02_DS_Nhan_Viec'!$K:$K,MATCH(6,'02_DS_Nhan_Viec'!$L:$L,0)),"")</f>
      </c>
      <c r="H11" s="61" t="str">
        <f t="array" ref="H11">IF($B11="","",IF(IFERROR(INDEX('02_DS_Nhan_Viec'!$J:$J,MATCH($B11,'02_DS_Nhan_Viec'!$B:$B,0)),"")="","Đang theo dõi",IF(OR(ISNUMBER(SEARCH("Không đủ điều kiện",IFERROR(INDEX('05_Theo_Doi_Gio_Cong_7_Ngay'!$Q:$Q,MATCH(IFERROR(INDEX('02_DS_Nhan_Viec'!$J:$J,MATCH($B11,'02_DS_Nhan_Viec'!$B:$B,0)),""),'05_Theo_Doi_Gio_Cong_7_Ngay'!$B:$B,0)),""))),ISNUMBER(SEARCH("Đủ 7 ngày nhưng",IFERROR(INDEX('05_Theo_Doi_Gio_Cong_7_Ngay'!$Q:$Q,MATCH(IFERROR(INDEX('02_DS_Nhan_Viec'!$J:$J,MATCH($B11,'02_DS_Nhan_Viec'!$B:$B,0)),""),'05_Theo_Doi_Gio_Cong_7_Ngay'!$B:$B,0)),"")))),"Đã nghỉ",IF(AND(OR(ISNUMBER(SEARCH("Đủ điều kiện",IFERROR(INDEX('05_Theo_Doi_Gio_Cong_7_Ngay'!$Q:$Q,MATCH(IFERROR(INDEX('02_DS_Nhan_Viec'!$J:$J,MATCH($B11,'02_DS_Nhan_Viec'!$B:$B,0)),""),'05_Theo_Doi_Gio_Cong_7_Ngay'!$B:$B,0)),""))),ISNUMBER(SEARCH("Đã có số thẻ",IFERROR(INDEX('05_Theo_Doi_Gio_Cong_7_Ngay'!$Q:$Q,MATCH(IFERROR(INDEX('02_DS_Nhan_Viec'!$J:$J,MATCH($B11,'02_DS_Nhan_Viec'!$B:$B,0)),""),'05_Theo_Doi_Gio_Cong_7_Ngay'!$B:$B,0)),"")))),IFERROR(INDEX('05_Theo_Doi_Gio_Cong_7_Ngay'!$R:$R,MATCH(IFERROR(INDEX('02_DS_Nhan_Viec'!$J:$J,MATCH($B11,'02_DS_Nhan_Viec'!$B:$B,0)),""),'05_Theo_Doi_Gio_Cong_7_Ngay'!$B:$B,0)),"")&lt;&gt;""),IFERROR(INDEX('06_DS_Chinh_Thuc'!$K:$K,MATCH(IFERROR(INDEX('05_Theo_Doi_Gio_Cong_7_Ngay'!$R:$R,MATCH(IFERROR(INDEX('02_DS_Nhan_Viec'!$J:$J,MATCH($B11,'02_DS_Nhan_Viec'!$B:$B,0)),""),'05_Theo_Doi_Gio_Cong_7_Ngay'!$B:$B,0)),""),'06_DS_Chinh_Thuc'!$B:$B,0)),"Đang theo dõi"),"Đang theo dõi"))))</f>
        <v>Đang theo dõi</v>
      </c>
    </row>
    <row r="12" ht="14.25" customHeight="1" spans="1:8" x14ac:dyDescent="0.25">
      <c r="A12" s="78">
        <v>7</v>
      </c>
      <c r="B12" s="79" t="str">
        <f t="array" ref="B12">IFERROR(INDEX('02_DS_Nhan_Viec'!$B:$B,MATCH(7,'02_DS_Nhan_Viec'!$L:$L,0)),"")</f>
        <v>UV0926-005</v>
      </c>
      <c r="C12" s="79" t="str">
        <f t="array" ref="C12">IFERROR(INDEX('02_DS_Nhan_Viec'!$C:$C,MATCH(7,'02_DS_Nhan_Viec'!$L:$L,0)),"")</f>
        <v>Trần Nguyễn Văn Mạnh</v>
      </c>
      <c r="D12" s="80">
        <f t="array" ref="D12">IFERROR(INDEX('02_DS_Nhan_Viec'!$D:$D,MATCH(7,'02_DS_Nhan_Viec'!$L:$L,0)),"")</f>
        <v>46270</v>
      </c>
      <c r="E12" s="80">
        <f t="array" ref="E12">IFERROR(INDEX('02_DS_Nhan_Viec'!$E:$E,MATCH(7,'02_DS_Nhan_Viec'!$L:$L,0)),"")</f>
        <v>46270</v>
      </c>
      <c r="F12" s="79" t="str">
        <f t="array" ref="F12">IFERROR(INDEX('02_DS_Nhan_Viec'!$F:$F,MATCH(7,'02_DS_Nhan_Viec'!$L:$L,0)),"")</f>
        <v>✅ Đã nhận việc - Đúng hẹn</v>
      </c>
      <c r="G12" s="79">
        <f t="array" ref="G12">IFERROR(INDEX('02_DS_Nhan_Viec'!$K:$K,MATCH(7,'02_DS_Nhan_Viec'!$L:$L,0)),"")</f>
      </c>
      <c r="H12" s="61" t="str">
        <f t="array" ref="H12">IF($B12="","",IF(IFERROR(INDEX('02_DS_Nhan_Viec'!$J:$J,MATCH($B12,'02_DS_Nhan_Viec'!$B:$B,0)),"")="","Đang theo dõi",IF(OR(ISNUMBER(SEARCH("Không đủ điều kiện",IFERROR(INDEX('05_Theo_Doi_Gio_Cong_7_Ngay'!$Q:$Q,MATCH(IFERROR(INDEX('02_DS_Nhan_Viec'!$J:$J,MATCH($B12,'02_DS_Nhan_Viec'!$B:$B,0)),""),'05_Theo_Doi_Gio_Cong_7_Ngay'!$B:$B,0)),""))),ISNUMBER(SEARCH("Đủ 7 ngày nhưng",IFERROR(INDEX('05_Theo_Doi_Gio_Cong_7_Ngay'!$Q:$Q,MATCH(IFERROR(INDEX('02_DS_Nhan_Viec'!$J:$J,MATCH($B12,'02_DS_Nhan_Viec'!$B:$B,0)),""),'05_Theo_Doi_Gio_Cong_7_Ngay'!$B:$B,0)),"")))),"Đã nghỉ",IF(AND(OR(ISNUMBER(SEARCH("Đủ điều kiện",IFERROR(INDEX('05_Theo_Doi_Gio_Cong_7_Ngay'!$Q:$Q,MATCH(IFERROR(INDEX('02_DS_Nhan_Viec'!$J:$J,MATCH($B12,'02_DS_Nhan_Viec'!$B:$B,0)),""),'05_Theo_Doi_Gio_Cong_7_Ngay'!$B:$B,0)),""))),ISNUMBER(SEARCH("Đã có số thẻ",IFERROR(INDEX('05_Theo_Doi_Gio_Cong_7_Ngay'!$Q:$Q,MATCH(IFERROR(INDEX('02_DS_Nhan_Viec'!$J:$J,MATCH($B12,'02_DS_Nhan_Viec'!$B:$B,0)),""),'05_Theo_Doi_Gio_Cong_7_Ngay'!$B:$B,0)),"")))),IFERROR(INDEX('05_Theo_Doi_Gio_Cong_7_Ngay'!$R:$R,MATCH(IFERROR(INDEX('02_DS_Nhan_Viec'!$J:$J,MATCH($B12,'02_DS_Nhan_Viec'!$B:$B,0)),""),'05_Theo_Doi_Gio_Cong_7_Ngay'!$B:$B,0)),"")&lt;&gt;""),IFERROR(INDEX('06_DS_Chinh_Thuc'!$K:$K,MATCH(IFERROR(INDEX('05_Theo_Doi_Gio_Cong_7_Ngay'!$R:$R,MATCH(IFERROR(INDEX('02_DS_Nhan_Viec'!$J:$J,MATCH($B12,'02_DS_Nhan_Viec'!$B:$B,0)),""),'05_Theo_Doi_Gio_Cong_7_Ngay'!$B:$B,0)),""),'06_DS_Chinh_Thuc'!$B:$B,0)),"Đang theo dõi"),"Đang theo dõi"))))</f>
        <v>Đang theo dõi</v>
      </c>
    </row>
    <row r="13" ht="14.25" customHeight="1" spans="1:8" x14ac:dyDescent="0.25">
      <c r="A13" s="78">
        <v>8</v>
      </c>
      <c r="B13" s="79" t="str">
        <f t="array" ref="B13">IFERROR(INDEX('02_DS_Nhan_Viec'!$B:$B,MATCH(8,'02_DS_Nhan_Viec'!$L:$L,0)),"")</f>
        <v>UV0926-006</v>
      </c>
      <c r="C13" s="79" t="str">
        <f t="array" ref="C13">IFERROR(INDEX('02_DS_Nhan_Viec'!$C:$C,MATCH(8,'02_DS_Nhan_Viec'!$L:$L,0)),"")</f>
        <v>Võ Thị Tú Nhi</v>
      </c>
      <c r="D13" s="80">
        <f t="array" ref="D13">IFERROR(INDEX('02_DS_Nhan_Viec'!$D:$D,MATCH(8,'02_DS_Nhan_Viec'!$L:$L,0)),"")</f>
        <v>46272</v>
      </c>
      <c r="E13" s="80">
        <f t="array" ref="E13">IFERROR(INDEX('02_DS_Nhan_Viec'!$E:$E,MATCH(8,'02_DS_Nhan_Viec'!$L:$L,0)),"")</f>
      </c>
      <c r="F13" s="79" t="str">
        <f t="array" ref="F13">IFERROR(INDEX('02_DS_Nhan_Viec'!$F:$F,MATCH(8,'02_DS_Nhan_Viec'!$L:$L,0)),"")</f>
        <v>🕓 Chưa đến ngày hẹn</v>
      </c>
      <c r="G13" s="79">
        <f t="array" ref="G13">IFERROR(INDEX('02_DS_Nhan_Viec'!$K:$K,MATCH(8,'02_DS_Nhan_Viec'!$L:$L,0)),"")</f>
      </c>
      <c r="H13" s="61" t="str">
        <f t="array" ref="H13">IF($B13="","",IF(IFERROR(INDEX('02_DS_Nhan_Viec'!$J:$J,MATCH($B13,'02_DS_Nhan_Viec'!$B:$B,0)),"")="","Đang theo dõi",IF(OR(ISNUMBER(SEARCH("Không đủ điều kiện",IFERROR(INDEX('05_Theo_Doi_Gio_Cong_7_Ngay'!$Q:$Q,MATCH(IFERROR(INDEX('02_DS_Nhan_Viec'!$J:$J,MATCH($B13,'02_DS_Nhan_Viec'!$B:$B,0)),""),'05_Theo_Doi_Gio_Cong_7_Ngay'!$B:$B,0)),""))),ISNUMBER(SEARCH("Đủ 7 ngày nhưng",IFERROR(INDEX('05_Theo_Doi_Gio_Cong_7_Ngay'!$Q:$Q,MATCH(IFERROR(INDEX('02_DS_Nhan_Viec'!$J:$J,MATCH($B13,'02_DS_Nhan_Viec'!$B:$B,0)),""),'05_Theo_Doi_Gio_Cong_7_Ngay'!$B:$B,0)),"")))),"Đã nghỉ",IF(AND(OR(ISNUMBER(SEARCH("Đủ điều kiện",IFERROR(INDEX('05_Theo_Doi_Gio_Cong_7_Ngay'!$Q:$Q,MATCH(IFERROR(INDEX('02_DS_Nhan_Viec'!$J:$J,MATCH($B13,'02_DS_Nhan_Viec'!$B:$B,0)),""),'05_Theo_Doi_Gio_Cong_7_Ngay'!$B:$B,0)),""))),ISNUMBER(SEARCH("Đã có số thẻ",IFERROR(INDEX('05_Theo_Doi_Gio_Cong_7_Ngay'!$Q:$Q,MATCH(IFERROR(INDEX('02_DS_Nhan_Viec'!$J:$J,MATCH($B13,'02_DS_Nhan_Viec'!$B:$B,0)),""),'05_Theo_Doi_Gio_Cong_7_Ngay'!$B:$B,0)),"")))),IFERROR(INDEX('05_Theo_Doi_Gio_Cong_7_Ngay'!$R:$R,MATCH(IFERROR(INDEX('02_DS_Nhan_Viec'!$J:$J,MATCH($B13,'02_DS_Nhan_Viec'!$B:$B,0)),""),'05_Theo_Doi_Gio_Cong_7_Ngay'!$B:$B,0)),"")&lt;&gt;""),IFERROR(INDEX('06_DS_Chinh_Thuc'!$K:$K,MATCH(IFERROR(INDEX('05_Theo_Doi_Gio_Cong_7_Ngay'!$R:$R,MATCH(IFERROR(INDEX('02_DS_Nhan_Viec'!$J:$J,MATCH($B13,'02_DS_Nhan_Viec'!$B:$B,0)),""),'05_Theo_Doi_Gio_Cong_7_Ngay'!$B:$B,0)),""),'06_DS_Chinh_Thuc'!$B:$B,0)),"Đang theo dõi"),"Đang theo dõi"))))</f>
        <v>Đang theo dõi</v>
      </c>
    </row>
    <row r="14" ht="14.25" customHeight="1" spans="1:8" x14ac:dyDescent="0.25">
      <c r="A14" s="78">
        <v>9</v>
      </c>
      <c r="B14" s="79" t="str">
        <f t="array" ref="B14">IFERROR(INDEX('02_DS_Nhan_Viec'!$B:$B,MATCH(9,'02_DS_Nhan_Viec'!$L:$L,0)),"")</f>
        <v>UV0926-007</v>
      </c>
      <c r="C14" s="79" t="str">
        <f t="array" ref="C14">IFERROR(INDEX('02_DS_Nhan_Viec'!$C:$C,MATCH(9,'02_DS_Nhan_Viec'!$L:$L,0)),"")</f>
        <v>Phạm Thị Hồng Ngân</v>
      </c>
      <c r="D14" s="80">
        <f t="array" ref="D14">IFERROR(INDEX('02_DS_Nhan_Viec'!$D:$D,MATCH(9,'02_DS_Nhan_Viec'!$L:$L,0)),"")</f>
        <v>46272</v>
      </c>
      <c r="E14" s="80">
        <f t="array" ref="E14">IFERROR(INDEX('02_DS_Nhan_Viec'!$E:$E,MATCH(9,'02_DS_Nhan_Viec'!$L:$L,0)),"")</f>
      </c>
      <c r="F14" s="79" t="str">
        <f t="array" ref="F14">IFERROR(INDEX('02_DS_Nhan_Viec'!$F:$F,MATCH(9,'02_DS_Nhan_Viec'!$L:$L,0)),"")</f>
        <v>🕓 Chưa đến ngày hẹn</v>
      </c>
      <c r="G14" s="79">
        <f t="array" ref="G14">IFERROR(INDEX('02_DS_Nhan_Viec'!$K:$K,MATCH(9,'02_DS_Nhan_Viec'!$L:$L,0)),"")</f>
      </c>
      <c r="H14" s="61" t="str">
        <f t="array" ref="H14">IF($B14="","",IF(IFERROR(INDEX('02_DS_Nhan_Viec'!$J:$J,MATCH($B14,'02_DS_Nhan_Viec'!$B:$B,0)),"")="","Đang theo dõi",IF(OR(ISNUMBER(SEARCH("Không đủ điều kiện",IFERROR(INDEX('05_Theo_Doi_Gio_Cong_7_Ngay'!$Q:$Q,MATCH(IFERROR(INDEX('02_DS_Nhan_Viec'!$J:$J,MATCH($B14,'02_DS_Nhan_Viec'!$B:$B,0)),""),'05_Theo_Doi_Gio_Cong_7_Ngay'!$B:$B,0)),""))),ISNUMBER(SEARCH("Đủ 7 ngày nhưng",IFERROR(INDEX('05_Theo_Doi_Gio_Cong_7_Ngay'!$Q:$Q,MATCH(IFERROR(INDEX('02_DS_Nhan_Viec'!$J:$J,MATCH($B14,'02_DS_Nhan_Viec'!$B:$B,0)),""),'05_Theo_Doi_Gio_Cong_7_Ngay'!$B:$B,0)),"")))),"Đã nghỉ",IF(AND(OR(ISNUMBER(SEARCH("Đủ điều kiện",IFERROR(INDEX('05_Theo_Doi_Gio_Cong_7_Ngay'!$Q:$Q,MATCH(IFERROR(INDEX('02_DS_Nhan_Viec'!$J:$J,MATCH($B14,'02_DS_Nhan_Viec'!$B:$B,0)),""),'05_Theo_Doi_Gio_Cong_7_Ngay'!$B:$B,0)),""))),ISNUMBER(SEARCH("Đã có số thẻ",IFERROR(INDEX('05_Theo_Doi_Gio_Cong_7_Ngay'!$Q:$Q,MATCH(IFERROR(INDEX('02_DS_Nhan_Viec'!$J:$J,MATCH($B14,'02_DS_Nhan_Viec'!$B:$B,0)),""),'05_Theo_Doi_Gio_Cong_7_Ngay'!$B:$B,0)),"")))),IFERROR(INDEX('05_Theo_Doi_Gio_Cong_7_Ngay'!$R:$R,MATCH(IFERROR(INDEX('02_DS_Nhan_Viec'!$J:$J,MATCH($B14,'02_DS_Nhan_Viec'!$B:$B,0)),""),'05_Theo_Doi_Gio_Cong_7_Ngay'!$B:$B,0)),"")&lt;&gt;""),IFERROR(INDEX('06_DS_Chinh_Thuc'!$K:$K,MATCH(IFERROR(INDEX('05_Theo_Doi_Gio_Cong_7_Ngay'!$R:$R,MATCH(IFERROR(INDEX('02_DS_Nhan_Viec'!$J:$J,MATCH($B14,'02_DS_Nhan_Viec'!$B:$B,0)),""),'05_Theo_Doi_Gio_Cong_7_Ngay'!$B:$B,0)),""),'06_DS_Chinh_Thuc'!$B:$B,0)),"Đang theo dõi"),"Đang theo dõi"))))</f>
        <v>Đang theo dõi</v>
      </c>
    </row>
    <row r="15" ht="14.25" customHeight="1" spans="1:8" x14ac:dyDescent="0.25">
      <c r="A15" s="78">
        <v>10</v>
      </c>
      <c r="B15" s="79" t="str">
        <f t="array" ref="B15">IFERROR(INDEX('02_DS_Nhan_Viec'!$B:$B,MATCH(10,'02_DS_Nhan_Viec'!$L:$L,0)),"")</f>
        <v>UV0926-008</v>
      </c>
      <c r="C15" s="79" t="str">
        <f t="array" ref="C15">IFERROR(INDEX('02_DS_Nhan_Viec'!$C:$C,MATCH(10,'02_DS_Nhan_Viec'!$L:$L,0)),"")</f>
        <v>Nguyễn Văn Hối</v>
      </c>
      <c r="D15" s="80">
        <f t="array" ref="D15">IFERROR(INDEX('02_DS_Nhan_Viec'!$D:$D,MATCH(10,'02_DS_Nhan_Viec'!$L:$L,0)),"")</f>
        <v>46272</v>
      </c>
      <c r="E15" s="80">
        <f t="array" ref="E15">IFERROR(INDEX('02_DS_Nhan_Viec'!$E:$E,MATCH(10,'02_DS_Nhan_Viec'!$L:$L,0)),"")</f>
      </c>
      <c r="F15" s="79" t="str">
        <f t="array" ref="F15">IFERROR(INDEX('02_DS_Nhan_Viec'!$F:$F,MATCH(10,'02_DS_Nhan_Viec'!$L:$L,0)),"")</f>
        <v>🕓 Chưa đến ngày hẹn</v>
      </c>
      <c r="G15" s="79">
        <f t="array" ref="G15">IFERROR(INDEX('02_DS_Nhan_Viec'!$K:$K,MATCH(10,'02_DS_Nhan_Viec'!$L:$L,0)),"")</f>
      </c>
      <c r="H15" s="61" t="str">
        <f t="array" ref="H15">IF($B15="","",IF(IFERROR(INDEX('02_DS_Nhan_Viec'!$J:$J,MATCH($B15,'02_DS_Nhan_Viec'!$B:$B,0)),"")="","Đang theo dõi",IF(OR(ISNUMBER(SEARCH("Không đủ điều kiện",IFERROR(INDEX('05_Theo_Doi_Gio_Cong_7_Ngay'!$Q:$Q,MATCH(IFERROR(INDEX('02_DS_Nhan_Viec'!$J:$J,MATCH($B15,'02_DS_Nhan_Viec'!$B:$B,0)),""),'05_Theo_Doi_Gio_Cong_7_Ngay'!$B:$B,0)),""))),ISNUMBER(SEARCH("Đủ 7 ngày nhưng",IFERROR(INDEX('05_Theo_Doi_Gio_Cong_7_Ngay'!$Q:$Q,MATCH(IFERROR(INDEX('02_DS_Nhan_Viec'!$J:$J,MATCH($B15,'02_DS_Nhan_Viec'!$B:$B,0)),""),'05_Theo_Doi_Gio_Cong_7_Ngay'!$B:$B,0)),"")))),"Đã nghỉ",IF(AND(OR(ISNUMBER(SEARCH("Đủ điều kiện",IFERROR(INDEX('05_Theo_Doi_Gio_Cong_7_Ngay'!$Q:$Q,MATCH(IFERROR(INDEX('02_DS_Nhan_Viec'!$J:$J,MATCH($B15,'02_DS_Nhan_Viec'!$B:$B,0)),""),'05_Theo_Doi_Gio_Cong_7_Ngay'!$B:$B,0)),""))),ISNUMBER(SEARCH("Đã có số thẻ",IFERROR(INDEX('05_Theo_Doi_Gio_Cong_7_Ngay'!$Q:$Q,MATCH(IFERROR(INDEX('02_DS_Nhan_Viec'!$J:$J,MATCH($B15,'02_DS_Nhan_Viec'!$B:$B,0)),""),'05_Theo_Doi_Gio_Cong_7_Ngay'!$B:$B,0)),"")))),IFERROR(INDEX('05_Theo_Doi_Gio_Cong_7_Ngay'!$R:$R,MATCH(IFERROR(INDEX('02_DS_Nhan_Viec'!$J:$J,MATCH($B15,'02_DS_Nhan_Viec'!$B:$B,0)),""),'05_Theo_Doi_Gio_Cong_7_Ngay'!$B:$B,0)),"")&lt;&gt;""),IFERROR(INDEX('06_DS_Chinh_Thuc'!$K:$K,MATCH(IFERROR(INDEX('05_Theo_Doi_Gio_Cong_7_Ngay'!$R:$R,MATCH(IFERROR(INDEX('02_DS_Nhan_Viec'!$J:$J,MATCH($B15,'02_DS_Nhan_Viec'!$B:$B,0)),""),'05_Theo_Doi_Gio_Cong_7_Ngay'!$B:$B,0)),""),'06_DS_Chinh_Thuc'!$B:$B,0)),"Đang theo dõi"),"Đang theo dõi"))))</f>
        <v>Đang theo dõi</v>
      </c>
    </row>
    <row r="16" ht="14.25" customHeight="1" spans="1:8" x14ac:dyDescent="0.25">
      <c r="A16" s="78">
        <v>11</v>
      </c>
      <c r="B16" s="79" t="str">
        <f t="array" ref="B16">IFERROR(INDEX('02_DS_Nhan_Viec'!$B:$B,MATCH(11,'02_DS_Nhan_Viec'!$L:$L,0)),"")</f>
        <v>UV0926-009</v>
      </c>
      <c r="C16" s="79" t="str">
        <f t="array" ref="C16">IFERROR(INDEX('02_DS_Nhan_Viec'!$C:$C,MATCH(11,'02_DS_Nhan_Viec'!$L:$L,0)),"")</f>
        <v>Nguyễn Thị Dứt</v>
      </c>
      <c r="D16" s="80">
        <f t="array" ref="D16">IFERROR(INDEX('02_DS_Nhan_Viec'!$D:$D,MATCH(11,'02_DS_Nhan_Viec'!$L:$L,0)),"")</f>
        <v>46272</v>
      </c>
      <c r="E16" s="80">
        <f t="array" ref="E16">IFERROR(INDEX('02_DS_Nhan_Viec'!$E:$E,MATCH(11,'02_DS_Nhan_Viec'!$L:$L,0)),"")</f>
      </c>
      <c r="F16" s="79" t="str">
        <f t="array" ref="F16">IFERROR(INDEX('02_DS_Nhan_Viec'!$F:$F,MATCH(11,'02_DS_Nhan_Viec'!$L:$L,0)),"")</f>
        <v>🕓 Chưa đến ngày hẹn</v>
      </c>
      <c r="G16" s="79">
        <f t="array" ref="G16">IFERROR(INDEX('02_DS_Nhan_Viec'!$K:$K,MATCH(11,'02_DS_Nhan_Viec'!$L:$L,0)),"")</f>
      </c>
      <c r="H16" s="61" t="str">
        <f t="array" ref="H16">IF($B16="","",IF(IFERROR(INDEX('02_DS_Nhan_Viec'!$J:$J,MATCH($B16,'02_DS_Nhan_Viec'!$B:$B,0)),"")="","Đang theo dõi",IF(OR(ISNUMBER(SEARCH("Không đủ điều kiện",IFERROR(INDEX('05_Theo_Doi_Gio_Cong_7_Ngay'!$Q:$Q,MATCH(IFERROR(INDEX('02_DS_Nhan_Viec'!$J:$J,MATCH($B16,'02_DS_Nhan_Viec'!$B:$B,0)),""),'05_Theo_Doi_Gio_Cong_7_Ngay'!$B:$B,0)),""))),ISNUMBER(SEARCH("Đủ 7 ngày nhưng",IFERROR(INDEX('05_Theo_Doi_Gio_Cong_7_Ngay'!$Q:$Q,MATCH(IFERROR(INDEX('02_DS_Nhan_Viec'!$J:$J,MATCH($B16,'02_DS_Nhan_Viec'!$B:$B,0)),""),'05_Theo_Doi_Gio_Cong_7_Ngay'!$B:$B,0)),"")))),"Đã nghỉ",IF(AND(OR(ISNUMBER(SEARCH("Đủ điều kiện",IFERROR(INDEX('05_Theo_Doi_Gio_Cong_7_Ngay'!$Q:$Q,MATCH(IFERROR(INDEX('02_DS_Nhan_Viec'!$J:$J,MATCH($B16,'02_DS_Nhan_Viec'!$B:$B,0)),""),'05_Theo_Doi_Gio_Cong_7_Ngay'!$B:$B,0)),""))),ISNUMBER(SEARCH("Đã có số thẻ",IFERROR(INDEX('05_Theo_Doi_Gio_Cong_7_Ngay'!$Q:$Q,MATCH(IFERROR(INDEX('02_DS_Nhan_Viec'!$J:$J,MATCH($B16,'02_DS_Nhan_Viec'!$B:$B,0)),""),'05_Theo_Doi_Gio_Cong_7_Ngay'!$B:$B,0)),"")))),IFERROR(INDEX('05_Theo_Doi_Gio_Cong_7_Ngay'!$R:$R,MATCH(IFERROR(INDEX('02_DS_Nhan_Viec'!$J:$J,MATCH($B16,'02_DS_Nhan_Viec'!$B:$B,0)),""),'05_Theo_Doi_Gio_Cong_7_Ngay'!$B:$B,0)),"")&lt;&gt;""),IFERROR(INDEX('06_DS_Chinh_Thuc'!$K:$K,MATCH(IFERROR(INDEX('05_Theo_Doi_Gio_Cong_7_Ngay'!$R:$R,MATCH(IFERROR(INDEX('02_DS_Nhan_Viec'!$J:$J,MATCH($B16,'02_DS_Nhan_Viec'!$B:$B,0)),""),'05_Theo_Doi_Gio_Cong_7_Ngay'!$B:$B,0)),""),'06_DS_Chinh_Thuc'!$B:$B,0)),"Đang theo dõi"),"Đang theo dõi"))))</f>
        <v>Đang theo dõi</v>
      </c>
    </row>
    <row r="17" ht="14.25" customHeight="1" spans="1:8" x14ac:dyDescent="0.25">
      <c r="A17" s="78">
        <v>12</v>
      </c>
      <c r="B17" s="79" t="str">
        <f t="array" ref="B17">IFERROR(INDEX('02_DS_Nhan_Viec'!$B:$B,MATCH(12,'02_DS_Nhan_Viec'!$L:$L,0)),"")</f>
        <v>UV0926-010</v>
      </c>
      <c r="C17" s="79" t="str">
        <f t="array" ref="C17">IFERROR(INDEX('02_DS_Nhan_Viec'!$C:$C,MATCH(12,'02_DS_Nhan_Viec'!$L:$L,0)),"")</f>
        <v>Võ Thị Hồng Lệ</v>
      </c>
      <c r="D17" s="80">
        <f t="array" ref="D17">IFERROR(INDEX('02_DS_Nhan_Viec'!$D:$D,MATCH(12,'02_DS_Nhan_Viec'!$L:$L,0)),"")</f>
        <v>46272</v>
      </c>
      <c r="E17" s="80">
        <f t="array" ref="E17">IFERROR(INDEX('02_DS_Nhan_Viec'!$E:$E,MATCH(12,'02_DS_Nhan_Viec'!$L:$L,0)),"")</f>
      </c>
      <c r="F17" s="79" t="str">
        <f t="array" ref="F17">IFERROR(INDEX('02_DS_Nhan_Viec'!$F:$F,MATCH(12,'02_DS_Nhan_Viec'!$L:$L,0)),"")</f>
        <v>🕓 Chưa đến ngày hẹn</v>
      </c>
      <c r="G17" s="79">
        <f t="array" ref="G17">IFERROR(INDEX('02_DS_Nhan_Viec'!$K:$K,MATCH(12,'02_DS_Nhan_Viec'!$L:$L,0)),"")</f>
      </c>
      <c r="H17" s="61" t="str">
        <f t="array" ref="H17">IF($B17="","",IF(IFERROR(INDEX('02_DS_Nhan_Viec'!$J:$J,MATCH($B17,'02_DS_Nhan_Viec'!$B:$B,0)),"")="","Đang theo dõi",IF(OR(ISNUMBER(SEARCH("Không đủ điều kiện",IFERROR(INDEX('05_Theo_Doi_Gio_Cong_7_Ngay'!$Q:$Q,MATCH(IFERROR(INDEX('02_DS_Nhan_Viec'!$J:$J,MATCH($B17,'02_DS_Nhan_Viec'!$B:$B,0)),""),'05_Theo_Doi_Gio_Cong_7_Ngay'!$B:$B,0)),""))),ISNUMBER(SEARCH("Đủ 7 ngày nhưng",IFERROR(INDEX('05_Theo_Doi_Gio_Cong_7_Ngay'!$Q:$Q,MATCH(IFERROR(INDEX('02_DS_Nhan_Viec'!$J:$J,MATCH($B17,'02_DS_Nhan_Viec'!$B:$B,0)),""),'05_Theo_Doi_Gio_Cong_7_Ngay'!$B:$B,0)),"")))),"Đã nghỉ",IF(AND(OR(ISNUMBER(SEARCH("Đủ điều kiện",IFERROR(INDEX('05_Theo_Doi_Gio_Cong_7_Ngay'!$Q:$Q,MATCH(IFERROR(INDEX('02_DS_Nhan_Viec'!$J:$J,MATCH($B17,'02_DS_Nhan_Viec'!$B:$B,0)),""),'05_Theo_Doi_Gio_Cong_7_Ngay'!$B:$B,0)),""))),ISNUMBER(SEARCH("Đã có số thẻ",IFERROR(INDEX('05_Theo_Doi_Gio_Cong_7_Ngay'!$Q:$Q,MATCH(IFERROR(INDEX('02_DS_Nhan_Viec'!$J:$J,MATCH($B17,'02_DS_Nhan_Viec'!$B:$B,0)),""),'05_Theo_Doi_Gio_Cong_7_Ngay'!$B:$B,0)),"")))),IFERROR(INDEX('05_Theo_Doi_Gio_Cong_7_Ngay'!$R:$R,MATCH(IFERROR(INDEX('02_DS_Nhan_Viec'!$J:$J,MATCH($B17,'02_DS_Nhan_Viec'!$B:$B,0)),""),'05_Theo_Doi_Gio_Cong_7_Ngay'!$B:$B,0)),"")&lt;&gt;""),IFERROR(INDEX('06_DS_Chinh_Thuc'!$K:$K,MATCH(IFERROR(INDEX('05_Theo_Doi_Gio_Cong_7_Ngay'!$R:$R,MATCH(IFERROR(INDEX('02_DS_Nhan_Viec'!$J:$J,MATCH($B17,'02_DS_Nhan_Viec'!$B:$B,0)),""),'05_Theo_Doi_Gio_Cong_7_Ngay'!$B:$B,0)),""),'06_DS_Chinh_Thuc'!$B:$B,0)),"Đang theo dõi"),"Đang theo dõi"))))</f>
        <v>Đang theo dõi</v>
      </c>
    </row>
    <row r="18" ht="14.25" customHeight="1" spans="1:8" x14ac:dyDescent="0.25">
      <c r="A18" s="78">
        <v>13</v>
      </c>
      <c r="B18" s="79">
        <f t="array" ref="B18">IFERROR(INDEX('02_DS_Nhan_Viec'!$B:$B,MATCH(13,'02_DS_Nhan_Viec'!$L:$L,0)),"")</f>
      </c>
      <c r="C18" s="79">
        <f t="array" ref="C18">IFERROR(INDEX('02_DS_Nhan_Viec'!$C:$C,MATCH(13,'02_DS_Nhan_Viec'!$L:$L,0)),"")</f>
      </c>
      <c r="D18" s="80">
        <f t="array" ref="D18">IFERROR(INDEX('02_DS_Nhan_Viec'!$D:$D,MATCH(13,'02_DS_Nhan_Viec'!$L:$L,0)),"")</f>
      </c>
      <c r="E18" s="80">
        <f t="array" ref="E18">IFERROR(INDEX('02_DS_Nhan_Viec'!$E:$E,MATCH(13,'02_DS_Nhan_Viec'!$L:$L,0)),"")</f>
      </c>
      <c r="F18" s="79">
        <f t="array" ref="F18">IFERROR(INDEX('02_DS_Nhan_Viec'!$F:$F,MATCH(13,'02_DS_Nhan_Viec'!$L:$L,0)),"")</f>
      </c>
      <c r="G18" s="79">
        <f t="array" ref="G18">IFERROR(INDEX('02_DS_Nhan_Viec'!$K:$K,MATCH(13,'02_DS_Nhan_Viec'!$L:$L,0)),"")</f>
      </c>
      <c r="H18" s="61">
        <f t="array" ref="H18">IF($B18="","",IF(IFERROR(INDEX('02_DS_Nhan_Viec'!$J:$J,MATCH($B18,'02_DS_Nhan_Viec'!$B:$B,0)),"")="","Đang theo dõi",IF(OR(ISNUMBER(SEARCH("Không đủ điều kiện",IFERROR(INDEX('05_Theo_Doi_Gio_Cong_7_Ngay'!$Q:$Q,MATCH(IFERROR(INDEX('02_DS_Nhan_Viec'!$J:$J,MATCH($B18,'02_DS_Nhan_Viec'!$B:$B,0)),""),'05_Theo_Doi_Gio_Cong_7_Ngay'!$B:$B,0)),""))),ISNUMBER(SEARCH("Đủ 7 ngày nhưng",IFERROR(INDEX('05_Theo_Doi_Gio_Cong_7_Ngay'!$Q:$Q,MATCH(IFERROR(INDEX('02_DS_Nhan_Viec'!$J:$J,MATCH($B18,'02_DS_Nhan_Viec'!$B:$B,0)),""),'05_Theo_Doi_Gio_Cong_7_Ngay'!$B:$B,0)),"")))),"Đã nghỉ",IF(AND(OR(ISNUMBER(SEARCH("Đủ điều kiện",IFERROR(INDEX('05_Theo_Doi_Gio_Cong_7_Ngay'!$Q:$Q,MATCH(IFERROR(INDEX('02_DS_Nhan_Viec'!$J:$J,MATCH($B18,'02_DS_Nhan_Viec'!$B:$B,0)),""),'05_Theo_Doi_Gio_Cong_7_Ngay'!$B:$B,0)),""))),ISNUMBER(SEARCH("Đã có số thẻ",IFERROR(INDEX('05_Theo_Doi_Gio_Cong_7_Ngay'!$Q:$Q,MATCH(IFERROR(INDEX('02_DS_Nhan_Viec'!$J:$J,MATCH($B18,'02_DS_Nhan_Viec'!$B:$B,0)),""),'05_Theo_Doi_Gio_Cong_7_Ngay'!$B:$B,0)),"")))),IFERROR(INDEX('05_Theo_Doi_Gio_Cong_7_Ngay'!$R:$R,MATCH(IFERROR(INDEX('02_DS_Nhan_Viec'!$J:$J,MATCH($B18,'02_DS_Nhan_Viec'!$B:$B,0)),""),'05_Theo_Doi_Gio_Cong_7_Ngay'!$B:$B,0)),"")&lt;&gt;""),IFERROR(INDEX('06_DS_Chinh_Thuc'!$K:$K,MATCH(IFERROR(INDEX('05_Theo_Doi_Gio_Cong_7_Ngay'!$R:$R,MATCH(IFERROR(INDEX('02_DS_Nhan_Viec'!$J:$J,MATCH($B18,'02_DS_Nhan_Viec'!$B:$B,0)),""),'05_Theo_Doi_Gio_Cong_7_Ngay'!$B:$B,0)),""),'06_DS_Chinh_Thuc'!$B:$B,0)),"Đang theo dõi"),"Đang theo dõi"))))</f>
      </c>
    </row>
    <row r="19" ht="14.25" customHeight="1" spans="1:8" x14ac:dyDescent="0.25">
      <c r="A19" s="78">
        <v>14</v>
      </c>
      <c r="B19" s="79">
        <f t="array" ref="B19">IFERROR(INDEX('02_DS_Nhan_Viec'!$B:$B,MATCH(14,'02_DS_Nhan_Viec'!$L:$L,0)),"")</f>
      </c>
      <c r="C19" s="79">
        <f t="array" ref="C19">IFERROR(INDEX('02_DS_Nhan_Viec'!$C:$C,MATCH(14,'02_DS_Nhan_Viec'!$L:$L,0)),"")</f>
      </c>
      <c r="D19" s="80">
        <f t="array" ref="D19">IFERROR(INDEX('02_DS_Nhan_Viec'!$D:$D,MATCH(14,'02_DS_Nhan_Viec'!$L:$L,0)),"")</f>
      </c>
      <c r="E19" s="80">
        <f t="array" ref="E19">IFERROR(INDEX('02_DS_Nhan_Viec'!$E:$E,MATCH(14,'02_DS_Nhan_Viec'!$L:$L,0)),"")</f>
      </c>
      <c r="F19" s="79">
        <f t="array" ref="F19">IFERROR(INDEX('02_DS_Nhan_Viec'!$F:$F,MATCH(14,'02_DS_Nhan_Viec'!$L:$L,0)),"")</f>
      </c>
      <c r="G19" s="79">
        <f t="array" ref="G19">IFERROR(INDEX('02_DS_Nhan_Viec'!$K:$K,MATCH(14,'02_DS_Nhan_Viec'!$L:$L,0)),"")</f>
      </c>
      <c r="H19" s="61">
        <f t="array" ref="H19">IF($B19="","",IF(IFERROR(INDEX('02_DS_Nhan_Viec'!$J:$J,MATCH($B19,'02_DS_Nhan_Viec'!$B:$B,0)),"")="","Đang theo dõi",IF(OR(IFERROR(INDEX('05_Theo_Doi_Gio_Cong_7_Ngay'!$R:$R,MATCH(IFERROR(INDEX('02_DS_Nhan_Viec'!$J:$J,MATCH($B19,'02_DS_Nhan_Viec'!$B:$B,0)),""),'05_Theo_Doi_Gio_Cong_7_Ngay'!$B:$B,0)),"")="",IFERROR(INDEX('05_Theo_Doi_Gio_Cong_7_Ngay'!$R:$R,MATCH(IFERROR(INDEX('02_DS_Nhan_Viec'!$J:$J,MATCH($B19,'02_DS_Nhan_Viec'!$B:$B,0)),""),'05_Theo_Doi_Gio_Cong_7_Ngay'!$B:$B,0)),0)=0),"Đang theo dõi",IFERROR(INDEX('06_DS_Chinh_Thuc'!$K:$K,MATCH(IFERROR(INDEX('05_Theo_Doi_Gio_Cong_7_Ngay'!$R:$R,MATCH(IFERROR(INDEX('02_DS_Nhan_Viec'!$J:$J,MATCH($B19,'02_DS_Nhan_Viec'!$B:$B,0)),""),'05_Theo_Doi_Gio_Cong_7_Ngay'!$B:$B,0)),0),'06_DS_Chinh_Thuc'!$B:$B,0)),"Đang theo dõi"))))</f>
      </c>
    </row>
    <row r="20" ht="14.25" customHeight="1" spans="1:8" x14ac:dyDescent="0.25">
      <c r="A20" s="78">
        <v>15</v>
      </c>
      <c r="B20" s="79">
        <f t="array" ref="B20">IFERROR(INDEX('02_DS_Nhan_Viec'!$B:$B,MATCH(15,'02_DS_Nhan_Viec'!$L:$L,0)),"")</f>
      </c>
      <c r="C20" s="79">
        <f t="array" ref="C20">IFERROR(INDEX('02_DS_Nhan_Viec'!$C:$C,MATCH(15,'02_DS_Nhan_Viec'!$L:$L,0)),"")</f>
      </c>
      <c r="D20" s="80">
        <f t="array" ref="D20">IFERROR(INDEX('02_DS_Nhan_Viec'!$D:$D,MATCH(15,'02_DS_Nhan_Viec'!$L:$L,0)),"")</f>
      </c>
      <c r="E20" s="80">
        <f t="array" ref="E20">IFERROR(INDEX('02_DS_Nhan_Viec'!$E:$E,MATCH(15,'02_DS_Nhan_Viec'!$L:$L,0)),"")</f>
      </c>
      <c r="F20" s="79">
        <f t="array" ref="F20">IFERROR(INDEX('02_DS_Nhan_Viec'!$F:$F,MATCH(15,'02_DS_Nhan_Viec'!$L:$L,0)),"")</f>
      </c>
      <c r="G20" s="79">
        <f t="array" ref="G20">IFERROR(INDEX('02_DS_Nhan_Viec'!$K:$K,MATCH(15,'02_DS_Nhan_Viec'!$L:$L,0)),"")</f>
      </c>
      <c r="H20" s="61">
        <f t="array" ref="H20">IF($B20="","",IF(IFERROR(INDEX('02_DS_Nhan_Viec'!$J:$J,MATCH($B20,'02_DS_Nhan_Viec'!$B:$B,0)),"")="","Đang theo dõi",IF(OR(IFERROR(INDEX('05_Theo_Doi_Gio_Cong_7_Ngay'!$R:$R,MATCH(IFERROR(INDEX('02_DS_Nhan_Viec'!$J:$J,MATCH($B20,'02_DS_Nhan_Viec'!$B:$B,0)),""),'05_Theo_Doi_Gio_Cong_7_Ngay'!$B:$B,0)),"")="",IFERROR(INDEX('05_Theo_Doi_Gio_Cong_7_Ngay'!$R:$R,MATCH(IFERROR(INDEX('02_DS_Nhan_Viec'!$J:$J,MATCH($B20,'02_DS_Nhan_Viec'!$B:$B,0)),""),'05_Theo_Doi_Gio_Cong_7_Ngay'!$B:$B,0)),0)=0),"Đang theo dõi",IFERROR(INDEX('06_DS_Chinh_Thuc'!$K:$K,MATCH(IFERROR(INDEX('05_Theo_Doi_Gio_Cong_7_Ngay'!$R:$R,MATCH(IFERROR(INDEX('02_DS_Nhan_Viec'!$J:$J,MATCH($B20,'02_DS_Nhan_Viec'!$B:$B,0)),""),'05_Theo_Doi_Gio_Cong_7_Ngay'!$B:$B,0)),0),'06_DS_Chinh_Thuc'!$B:$B,0)),"Đang theo dõi"))))</f>
      </c>
    </row>
    <row r="21" ht="14.25" customHeight="1" spans="1:8" x14ac:dyDescent="0.25">
      <c r="A21" s="78">
        <v>16</v>
      </c>
      <c r="B21" s="79">
        <f t="array" ref="B21">IFERROR(INDEX('02_DS_Nhan_Viec'!$B:$B,MATCH(16,'02_DS_Nhan_Viec'!$L:$L,0)),"")</f>
      </c>
      <c r="C21" s="79">
        <f t="array" ref="C21">IFERROR(INDEX('02_DS_Nhan_Viec'!$C:$C,MATCH(16,'02_DS_Nhan_Viec'!$L:$L,0)),"")</f>
      </c>
      <c r="D21" s="80">
        <f t="array" ref="D21">IFERROR(INDEX('02_DS_Nhan_Viec'!$D:$D,MATCH(16,'02_DS_Nhan_Viec'!$L:$L,0)),"")</f>
      </c>
      <c r="E21" s="80">
        <f t="array" ref="E21">IFERROR(INDEX('02_DS_Nhan_Viec'!$E:$E,MATCH(16,'02_DS_Nhan_Viec'!$L:$L,0)),"")</f>
      </c>
      <c r="F21" s="79">
        <f t="array" ref="F21">IFERROR(INDEX('02_DS_Nhan_Viec'!$F:$F,MATCH(16,'02_DS_Nhan_Viec'!$L:$L,0)),"")</f>
      </c>
      <c r="G21" s="79">
        <f t="array" ref="G21">IFERROR(INDEX('02_DS_Nhan_Viec'!$K:$K,MATCH(16,'02_DS_Nhan_Viec'!$L:$L,0)),"")</f>
      </c>
      <c r="H21" s="61">
        <f t="array" ref="H21">IF($B21="","",IF(IFERROR(INDEX('02_DS_Nhan_Viec'!$J:$J,MATCH($B21,'02_DS_Nhan_Viec'!$B:$B,0)),"")="","Đang theo dõi",IF(OR(IFERROR(INDEX('05_Theo_Doi_Gio_Cong_7_Ngay'!$R:$R,MATCH(IFERROR(INDEX('02_DS_Nhan_Viec'!$J:$J,MATCH($B21,'02_DS_Nhan_Viec'!$B:$B,0)),""),'05_Theo_Doi_Gio_Cong_7_Ngay'!$B:$B,0)),"")="",IFERROR(INDEX('05_Theo_Doi_Gio_Cong_7_Ngay'!$R:$R,MATCH(IFERROR(INDEX('02_DS_Nhan_Viec'!$J:$J,MATCH($B21,'02_DS_Nhan_Viec'!$B:$B,0)),""),'05_Theo_Doi_Gio_Cong_7_Ngay'!$B:$B,0)),0)=0),"Đang theo dõi",IFERROR(INDEX('06_DS_Chinh_Thuc'!$K:$K,MATCH(IFERROR(INDEX('05_Theo_Doi_Gio_Cong_7_Ngay'!$R:$R,MATCH(IFERROR(INDEX('02_DS_Nhan_Viec'!$J:$J,MATCH($B21,'02_DS_Nhan_Viec'!$B:$B,0)),""),'05_Theo_Doi_Gio_Cong_7_Ngay'!$B:$B,0)),0),'06_DS_Chinh_Thuc'!$B:$B,0)),"Đang theo dõi"))))</f>
      </c>
    </row>
    <row r="22" ht="14.25" customHeight="1" spans="1:8" x14ac:dyDescent="0.25">
      <c r="A22" s="78">
        <v>17</v>
      </c>
      <c r="B22" s="79">
        <f t="array" ref="B22">IFERROR(INDEX('02_DS_Nhan_Viec'!$B:$B,MATCH(17,'02_DS_Nhan_Viec'!$L:$L,0)),"")</f>
      </c>
      <c r="C22" s="79">
        <f t="array" ref="C22">IFERROR(INDEX('02_DS_Nhan_Viec'!$C:$C,MATCH(17,'02_DS_Nhan_Viec'!$L:$L,0)),"")</f>
      </c>
      <c r="D22" s="80">
        <f t="array" ref="D22">IFERROR(INDEX('02_DS_Nhan_Viec'!$D:$D,MATCH(17,'02_DS_Nhan_Viec'!$L:$L,0)),"")</f>
      </c>
      <c r="E22" s="80">
        <f t="array" ref="E22">IFERROR(INDEX('02_DS_Nhan_Viec'!$E:$E,MATCH(17,'02_DS_Nhan_Viec'!$L:$L,0)),"")</f>
      </c>
      <c r="F22" s="79">
        <f t="array" ref="F22">IFERROR(INDEX('02_DS_Nhan_Viec'!$F:$F,MATCH(17,'02_DS_Nhan_Viec'!$L:$L,0)),"")</f>
      </c>
      <c r="G22" s="79">
        <f t="array" ref="G22">IFERROR(INDEX('02_DS_Nhan_Viec'!$K:$K,MATCH(17,'02_DS_Nhan_Viec'!$L:$L,0)),"")</f>
      </c>
      <c r="H22" s="61">
        <f t="array" ref="H22">IF($B22="","",IF(IFERROR(INDEX('02_DS_Nhan_Viec'!$J:$J,MATCH($B22,'02_DS_Nhan_Viec'!$B:$B,0)),"")="","Đang theo dõi",IF(OR(IFERROR(INDEX('05_Theo_Doi_Gio_Cong_7_Ngay'!$R:$R,MATCH(IFERROR(INDEX('02_DS_Nhan_Viec'!$J:$J,MATCH($B22,'02_DS_Nhan_Viec'!$B:$B,0)),""),'05_Theo_Doi_Gio_Cong_7_Ngay'!$B:$B,0)),"")="",IFERROR(INDEX('05_Theo_Doi_Gio_Cong_7_Ngay'!$R:$R,MATCH(IFERROR(INDEX('02_DS_Nhan_Viec'!$J:$J,MATCH($B22,'02_DS_Nhan_Viec'!$B:$B,0)),""),'05_Theo_Doi_Gio_Cong_7_Ngay'!$B:$B,0)),0)=0),"Đang theo dõi",IFERROR(INDEX('06_DS_Chinh_Thuc'!$K:$K,MATCH(IFERROR(INDEX('05_Theo_Doi_Gio_Cong_7_Ngay'!$R:$R,MATCH(IFERROR(INDEX('02_DS_Nhan_Viec'!$J:$J,MATCH($B22,'02_DS_Nhan_Viec'!$B:$B,0)),""),'05_Theo_Doi_Gio_Cong_7_Ngay'!$B:$B,0)),0),'06_DS_Chinh_Thuc'!$B:$B,0)),"Đang theo dõi"))))</f>
      </c>
    </row>
    <row r="23" ht="14.25" customHeight="1" spans="1:8" x14ac:dyDescent="0.25">
      <c r="A23" s="78">
        <v>18</v>
      </c>
      <c r="B23" s="79">
        <f t="array" ref="B23">IFERROR(INDEX('02_DS_Nhan_Viec'!$B:$B,MATCH(18,'02_DS_Nhan_Viec'!$L:$L,0)),"")</f>
      </c>
      <c r="C23" s="79">
        <f t="array" ref="C23">IFERROR(INDEX('02_DS_Nhan_Viec'!$C:$C,MATCH(18,'02_DS_Nhan_Viec'!$L:$L,0)),"")</f>
      </c>
      <c r="D23" s="80">
        <f t="array" ref="D23">IFERROR(INDEX('02_DS_Nhan_Viec'!$D:$D,MATCH(18,'02_DS_Nhan_Viec'!$L:$L,0)),"")</f>
      </c>
      <c r="E23" s="80">
        <f t="array" ref="E23">IFERROR(INDEX('02_DS_Nhan_Viec'!$E:$E,MATCH(18,'02_DS_Nhan_Viec'!$L:$L,0)),"")</f>
      </c>
      <c r="F23" s="79">
        <f t="array" ref="F23">IFERROR(INDEX('02_DS_Nhan_Viec'!$F:$F,MATCH(18,'02_DS_Nhan_Viec'!$L:$L,0)),"")</f>
      </c>
      <c r="G23" s="79">
        <f t="array" ref="G23">IFERROR(INDEX('02_DS_Nhan_Viec'!$K:$K,MATCH(18,'02_DS_Nhan_Viec'!$L:$L,0)),"")</f>
      </c>
      <c r="H23" s="61">
        <f t="array" ref="H23">IF($B23="","",IF(IFERROR(INDEX('02_DS_Nhan_Viec'!$J:$J,MATCH($B23,'02_DS_Nhan_Viec'!$B:$B,0)),"")="","Đang theo dõi",IF(OR(IFERROR(INDEX('05_Theo_Doi_Gio_Cong_7_Ngay'!$R:$R,MATCH(IFERROR(INDEX('02_DS_Nhan_Viec'!$J:$J,MATCH($B23,'02_DS_Nhan_Viec'!$B:$B,0)),""),'05_Theo_Doi_Gio_Cong_7_Ngay'!$B:$B,0)),"")="",IFERROR(INDEX('05_Theo_Doi_Gio_Cong_7_Ngay'!$R:$R,MATCH(IFERROR(INDEX('02_DS_Nhan_Viec'!$J:$J,MATCH($B23,'02_DS_Nhan_Viec'!$B:$B,0)),""),'05_Theo_Doi_Gio_Cong_7_Ngay'!$B:$B,0)),0)=0),"Đang theo dõi",IFERROR(INDEX('06_DS_Chinh_Thuc'!$K:$K,MATCH(IFERROR(INDEX('05_Theo_Doi_Gio_Cong_7_Ngay'!$R:$R,MATCH(IFERROR(INDEX('02_DS_Nhan_Viec'!$J:$J,MATCH($B23,'02_DS_Nhan_Viec'!$B:$B,0)),""),'05_Theo_Doi_Gio_Cong_7_Ngay'!$B:$B,0)),0),'06_DS_Chinh_Thuc'!$B:$B,0)),"Đang theo dõi"))))</f>
      </c>
    </row>
    <row r="24" ht="14.25" customHeight="1" spans="1:8" x14ac:dyDescent="0.25">
      <c r="A24" s="78">
        <v>19</v>
      </c>
      <c r="B24" s="79">
        <f t="array" ref="B24">IFERROR(INDEX('02_DS_Nhan_Viec'!$B:$B,MATCH(19,'02_DS_Nhan_Viec'!$L:$L,0)),"")</f>
      </c>
      <c r="C24" s="79">
        <f t="array" ref="C24">IFERROR(INDEX('02_DS_Nhan_Viec'!$C:$C,MATCH(19,'02_DS_Nhan_Viec'!$L:$L,0)),"")</f>
      </c>
      <c r="D24" s="80">
        <f t="array" ref="D24">IFERROR(INDEX('02_DS_Nhan_Viec'!$D:$D,MATCH(19,'02_DS_Nhan_Viec'!$L:$L,0)),"")</f>
      </c>
      <c r="E24" s="80">
        <f t="array" ref="E24">IFERROR(INDEX('02_DS_Nhan_Viec'!$E:$E,MATCH(19,'02_DS_Nhan_Viec'!$L:$L,0)),"")</f>
      </c>
      <c r="F24" s="79">
        <f t="array" ref="F24">IFERROR(INDEX('02_DS_Nhan_Viec'!$F:$F,MATCH(19,'02_DS_Nhan_Viec'!$L:$L,0)),"")</f>
      </c>
      <c r="G24" s="79">
        <f t="array" ref="G24">IFERROR(INDEX('02_DS_Nhan_Viec'!$K:$K,MATCH(19,'02_DS_Nhan_Viec'!$L:$L,0)),"")</f>
      </c>
      <c r="H24" s="61">
        <f t="array" ref="H24">IF($B24="","",IF(IFERROR(INDEX('02_DS_Nhan_Viec'!$J:$J,MATCH($B24,'02_DS_Nhan_Viec'!$B:$B,0)),"")="","Đang theo dõi",IF(OR(IFERROR(INDEX('05_Theo_Doi_Gio_Cong_7_Ngay'!$R:$R,MATCH(IFERROR(INDEX('02_DS_Nhan_Viec'!$J:$J,MATCH($B24,'02_DS_Nhan_Viec'!$B:$B,0)),""),'05_Theo_Doi_Gio_Cong_7_Ngay'!$B:$B,0)),"")="",IFERROR(INDEX('05_Theo_Doi_Gio_Cong_7_Ngay'!$R:$R,MATCH(IFERROR(INDEX('02_DS_Nhan_Viec'!$J:$J,MATCH($B24,'02_DS_Nhan_Viec'!$B:$B,0)),""),'05_Theo_Doi_Gio_Cong_7_Ngay'!$B:$B,0)),0)=0),"Đang theo dõi",IFERROR(INDEX('06_DS_Chinh_Thuc'!$K:$K,MATCH(IFERROR(INDEX('05_Theo_Doi_Gio_Cong_7_Ngay'!$R:$R,MATCH(IFERROR(INDEX('02_DS_Nhan_Viec'!$J:$J,MATCH($B24,'02_DS_Nhan_Viec'!$B:$B,0)),""),'05_Theo_Doi_Gio_Cong_7_Ngay'!$B:$B,0)),0),'06_DS_Chinh_Thuc'!$B:$B,0)),"Đang theo dõi"))))</f>
      </c>
    </row>
    <row r="25" ht="14.25" customHeight="1" spans="1:8" x14ac:dyDescent="0.25">
      <c r="A25" s="78">
        <v>20</v>
      </c>
      <c r="B25" s="79">
        <f t="array" ref="B25">IFERROR(INDEX('02_DS_Nhan_Viec'!$B:$B,MATCH(20,'02_DS_Nhan_Viec'!$L:$L,0)),"")</f>
      </c>
      <c r="C25" s="79">
        <f t="array" ref="C25">IFERROR(INDEX('02_DS_Nhan_Viec'!$C:$C,MATCH(20,'02_DS_Nhan_Viec'!$L:$L,0)),"")</f>
      </c>
      <c r="D25" s="80">
        <f t="array" ref="D25">IFERROR(INDEX('02_DS_Nhan_Viec'!$D:$D,MATCH(20,'02_DS_Nhan_Viec'!$L:$L,0)),"")</f>
      </c>
      <c r="E25" s="80">
        <f t="array" ref="E25">IFERROR(INDEX('02_DS_Nhan_Viec'!$E:$E,MATCH(20,'02_DS_Nhan_Viec'!$L:$L,0)),"")</f>
      </c>
      <c r="F25" s="79">
        <f t="array" ref="F25">IFERROR(INDEX('02_DS_Nhan_Viec'!$F:$F,MATCH(20,'02_DS_Nhan_Viec'!$L:$L,0)),"")</f>
      </c>
      <c r="G25" s="79">
        <f t="array" ref="G25">IFERROR(INDEX('02_DS_Nhan_Viec'!$K:$K,MATCH(20,'02_DS_Nhan_Viec'!$L:$L,0)),"")</f>
      </c>
      <c r="H25" s="61">
        <f t="array" ref="H25">IF($B25="","",IF(IFERROR(INDEX('02_DS_Nhan_Viec'!$J:$J,MATCH($B25,'02_DS_Nhan_Viec'!$B:$B,0)),"")="","Đang theo dõi",IF(OR(IFERROR(INDEX('05_Theo_Doi_Gio_Cong_7_Ngay'!$R:$R,MATCH(IFERROR(INDEX('02_DS_Nhan_Viec'!$J:$J,MATCH($B25,'02_DS_Nhan_Viec'!$B:$B,0)),""),'05_Theo_Doi_Gio_Cong_7_Ngay'!$B:$B,0)),"")="",IFERROR(INDEX('05_Theo_Doi_Gio_Cong_7_Ngay'!$R:$R,MATCH(IFERROR(INDEX('02_DS_Nhan_Viec'!$J:$J,MATCH($B25,'02_DS_Nhan_Viec'!$B:$B,0)),""),'05_Theo_Doi_Gio_Cong_7_Ngay'!$B:$B,0)),0)=0),"Đang theo dõi",IFERROR(INDEX('06_DS_Chinh_Thuc'!$K:$K,MATCH(IFERROR(INDEX('05_Theo_Doi_Gio_Cong_7_Ngay'!$R:$R,MATCH(IFERROR(INDEX('02_DS_Nhan_Viec'!$J:$J,MATCH($B25,'02_DS_Nhan_Viec'!$B:$B,0)),""),'05_Theo_Doi_Gio_Cong_7_Ngay'!$B:$B,0)),0),'06_DS_Chinh_Thuc'!$B:$B,0)),"Đang theo dõi"))))</f>
      </c>
    </row>
    <row r="26" ht="14.25" customHeight="1" spans="1:8" x14ac:dyDescent="0.25">
      <c r="A26" s="78">
        <v>21</v>
      </c>
      <c r="B26" s="79">
        <f t="array" ref="B26">IFERROR(INDEX('02_DS_Nhan_Viec'!$B:$B,MATCH(21,'02_DS_Nhan_Viec'!$L:$L,0)),"")</f>
      </c>
      <c r="C26" s="79">
        <f t="array" ref="C26">IFERROR(INDEX('02_DS_Nhan_Viec'!$C:$C,MATCH(21,'02_DS_Nhan_Viec'!$L:$L,0)),"")</f>
      </c>
      <c r="D26" s="80">
        <f t="array" ref="D26">IFERROR(INDEX('02_DS_Nhan_Viec'!$D:$D,MATCH(21,'02_DS_Nhan_Viec'!$L:$L,0)),"")</f>
      </c>
      <c r="E26" s="80">
        <f t="array" ref="E26">IFERROR(INDEX('02_DS_Nhan_Viec'!$E:$E,MATCH(21,'02_DS_Nhan_Viec'!$L:$L,0)),"")</f>
      </c>
      <c r="F26" s="79">
        <f t="array" ref="F26">IFERROR(INDEX('02_DS_Nhan_Viec'!$F:$F,MATCH(21,'02_DS_Nhan_Viec'!$L:$L,0)),"")</f>
      </c>
      <c r="G26" s="79">
        <f t="array" ref="G26">IFERROR(INDEX('02_DS_Nhan_Viec'!$K:$K,MATCH(21,'02_DS_Nhan_Viec'!$L:$L,0)),"")</f>
      </c>
      <c r="H26" s="61">
        <f t="array" ref="H26">IF($B26="","",IF(IFERROR(INDEX('02_DS_Nhan_Viec'!$J:$J,MATCH($B26,'02_DS_Nhan_Viec'!$B:$B,0)),"")="","Đang theo dõi",IF(OR(IFERROR(INDEX('05_Theo_Doi_Gio_Cong_7_Ngay'!$R:$R,MATCH(IFERROR(INDEX('02_DS_Nhan_Viec'!$J:$J,MATCH($B26,'02_DS_Nhan_Viec'!$B:$B,0)),""),'05_Theo_Doi_Gio_Cong_7_Ngay'!$B:$B,0)),"")="",IFERROR(INDEX('05_Theo_Doi_Gio_Cong_7_Ngay'!$R:$R,MATCH(IFERROR(INDEX('02_DS_Nhan_Viec'!$J:$J,MATCH($B26,'02_DS_Nhan_Viec'!$B:$B,0)),""),'05_Theo_Doi_Gio_Cong_7_Ngay'!$B:$B,0)),0)=0),"Đang theo dõi",IFERROR(INDEX('06_DS_Chinh_Thuc'!$K:$K,MATCH(IFERROR(INDEX('05_Theo_Doi_Gio_Cong_7_Ngay'!$R:$R,MATCH(IFERROR(INDEX('02_DS_Nhan_Viec'!$J:$J,MATCH($B26,'02_DS_Nhan_Viec'!$B:$B,0)),""),'05_Theo_Doi_Gio_Cong_7_Ngay'!$B:$B,0)),0),'06_DS_Chinh_Thuc'!$B:$B,0)),"Đang theo dõi"))))</f>
      </c>
    </row>
    <row r="27" ht="14.25" customHeight="1" spans="1:8" x14ac:dyDescent="0.25">
      <c r="A27" s="78">
        <v>22</v>
      </c>
      <c r="B27" s="79">
        <f t="array" ref="B27">IFERROR(INDEX('02_DS_Nhan_Viec'!$B:$B,MATCH(22,'02_DS_Nhan_Viec'!$L:$L,0)),"")</f>
      </c>
      <c r="C27" s="79">
        <f t="array" ref="C27">IFERROR(INDEX('02_DS_Nhan_Viec'!$C:$C,MATCH(22,'02_DS_Nhan_Viec'!$L:$L,0)),"")</f>
      </c>
      <c r="D27" s="80">
        <f t="array" ref="D27">IFERROR(INDEX('02_DS_Nhan_Viec'!$D:$D,MATCH(22,'02_DS_Nhan_Viec'!$L:$L,0)),"")</f>
      </c>
      <c r="E27" s="80">
        <f t="array" ref="E27">IFERROR(INDEX('02_DS_Nhan_Viec'!$E:$E,MATCH(22,'02_DS_Nhan_Viec'!$L:$L,0)),"")</f>
      </c>
      <c r="F27" s="79">
        <f t="array" ref="F27">IFERROR(INDEX('02_DS_Nhan_Viec'!$F:$F,MATCH(22,'02_DS_Nhan_Viec'!$L:$L,0)),"")</f>
      </c>
      <c r="G27" s="79">
        <f t="array" ref="G27">IFERROR(INDEX('02_DS_Nhan_Viec'!$K:$K,MATCH(22,'02_DS_Nhan_Viec'!$L:$L,0)),"")</f>
      </c>
      <c r="H27" s="61">
        <f t="array" ref="H27">IF($B27="","",IF(IFERROR(INDEX('02_DS_Nhan_Viec'!$J:$J,MATCH($B27,'02_DS_Nhan_Viec'!$B:$B,0)),"")="","Đang theo dõi",IF(OR(IFERROR(INDEX('05_Theo_Doi_Gio_Cong_7_Ngay'!$R:$R,MATCH(IFERROR(INDEX('02_DS_Nhan_Viec'!$J:$J,MATCH($B27,'02_DS_Nhan_Viec'!$B:$B,0)),""),'05_Theo_Doi_Gio_Cong_7_Ngay'!$B:$B,0)),"")="",IFERROR(INDEX('05_Theo_Doi_Gio_Cong_7_Ngay'!$R:$R,MATCH(IFERROR(INDEX('02_DS_Nhan_Viec'!$J:$J,MATCH($B27,'02_DS_Nhan_Viec'!$B:$B,0)),""),'05_Theo_Doi_Gio_Cong_7_Ngay'!$B:$B,0)),0)=0),"Đang theo dõi",IFERROR(INDEX('06_DS_Chinh_Thuc'!$K:$K,MATCH(IFERROR(INDEX('05_Theo_Doi_Gio_Cong_7_Ngay'!$R:$R,MATCH(IFERROR(INDEX('02_DS_Nhan_Viec'!$J:$J,MATCH($B27,'02_DS_Nhan_Viec'!$B:$B,0)),""),'05_Theo_Doi_Gio_Cong_7_Ngay'!$B:$B,0)),0),'06_DS_Chinh_Thuc'!$B:$B,0)),"Đang theo dõi"))))</f>
      </c>
    </row>
    <row r="28" ht="14.25" customHeight="1" spans="1:8" x14ac:dyDescent="0.25">
      <c r="A28" s="78">
        <v>23</v>
      </c>
      <c r="B28" s="79">
        <f t="array" ref="B28">IFERROR(INDEX('02_DS_Nhan_Viec'!$B:$B,MATCH(23,'02_DS_Nhan_Viec'!$L:$L,0)),"")</f>
      </c>
      <c r="C28" s="79">
        <f t="array" ref="C28">IFERROR(INDEX('02_DS_Nhan_Viec'!$C:$C,MATCH(23,'02_DS_Nhan_Viec'!$L:$L,0)),"")</f>
      </c>
      <c r="D28" s="80">
        <f t="array" ref="D28">IFERROR(INDEX('02_DS_Nhan_Viec'!$D:$D,MATCH(23,'02_DS_Nhan_Viec'!$L:$L,0)),"")</f>
      </c>
      <c r="E28" s="80">
        <f t="array" ref="E28">IFERROR(INDEX('02_DS_Nhan_Viec'!$E:$E,MATCH(23,'02_DS_Nhan_Viec'!$L:$L,0)),"")</f>
      </c>
      <c r="F28" s="79">
        <f t="array" ref="F28">IFERROR(INDEX('02_DS_Nhan_Viec'!$F:$F,MATCH(23,'02_DS_Nhan_Viec'!$L:$L,0)),"")</f>
      </c>
      <c r="G28" s="79">
        <f t="array" ref="G28">IFERROR(INDEX('02_DS_Nhan_Viec'!$K:$K,MATCH(23,'02_DS_Nhan_Viec'!$L:$L,0)),"")</f>
      </c>
      <c r="H28" s="61">
        <f t="array" ref="H28">IF($B28="","",IF(IFERROR(INDEX('02_DS_Nhan_Viec'!$J:$J,MATCH($B28,'02_DS_Nhan_Viec'!$B:$B,0)),"")="","Đang theo dõi",IF(OR(IFERROR(INDEX('05_Theo_Doi_Gio_Cong_7_Ngay'!$R:$R,MATCH(IFERROR(INDEX('02_DS_Nhan_Viec'!$J:$J,MATCH($B28,'02_DS_Nhan_Viec'!$B:$B,0)),""),'05_Theo_Doi_Gio_Cong_7_Ngay'!$B:$B,0)),"")="",IFERROR(INDEX('05_Theo_Doi_Gio_Cong_7_Ngay'!$R:$R,MATCH(IFERROR(INDEX('02_DS_Nhan_Viec'!$J:$J,MATCH($B28,'02_DS_Nhan_Viec'!$B:$B,0)),""),'05_Theo_Doi_Gio_Cong_7_Ngay'!$B:$B,0)),0)=0),"Đang theo dõi",IFERROR(INDEX('06_DS_Chinh_Thuc'!$K:$K,MATCH(IFERROR(INDEX('05_Theo_Doi_Gio_Cong_7_Ngay'!$R:$R,MATCH(IFERROR(INDEX('02_DS_Nhan_Viec'!$J:$J,MATCH($B28,'02_DS_Nhan_Viec'!$B:$B,0)),""),'05_Theo_Doi_Gio_Cong_7_Ngay'!$B:$B,0)),0),'06_DS_Chinh_Thuc'!$B:$B,0)),"Đang theo dõi"))))</f>
      </c>
    </row>
    <row r="29" ht="14.25" customHeight="1" spans="1:8" x14ac:dyDescent="0.25">
      <c r="A29" s="78">
        <v>24</v>
      </c>
      <c r="B29" s="79">
        <f t="array" ref="B29">IFERROR(INDEX('02_DS_Nhan_Viec'!$B:$B,MATCH(24,'02_DS_Nhan_Viec'!$L:$L,0)),"")</f>
      </c>
      <c r="C29" s="79">
        <f t="array" ref="C29">IFERROR(INDEX('02_DS_Nhan_Viec'!$C:$C,MATCH(24,'02_DS_Nhan_Viec'!$L:$L,0)),"")</f>
      </c>
      <c r="D29" s="80">
        <f t="array" ref="D29">IFERROR(INDEX('02_DS_Nhan_Viec'!$D:$D,MATCH(24,'02_DS_Nhan_Viec'!$L:$L,0)),"")</f>
      </c>
      <c r="E29" s="80">
        <f t="array" ref="E29">IFERROR(INDEX('02_DS_Nhan_Viec'!$E:$E,MATCH(24,'02_DS_Nhan_Viec'!$L:$L,0)),"")</f>
      </c>
      <c r="F29" s="79">
        <f t="array" ref="F29">IFERROR(INDEX('02_DS_Nhan_Viec'!$F:$F,MATCH(24,'02_DS_Nhan_Viec'!$L:$L,0)),"")</f>
      </c>
      <c r="G29" s="79">
        <f t="array" ref="G29">IFERROR(INDEX('02_DS_Nhan_Viec'!$K:$K,MATCH(24,'02_DS_Nhan_Viec'!$L:$L,0)),"")</f>
      </c>
      <c r="H29" s="61">
        <f t="array" ref="H29">IF($B29="","",IF(IFERROR(INDEX('02_DS_Nhan_Viec'!$J:$J,MATCH($B29,'02_DS_Nhan_Viec'!$B:$B,0)),"")="","Đang theo dõi",IF(OR(IFERROR(INDEX('05_Theo_Doi_Gio_Cong_7_Ngay'!$R:$R,MATCH(IFERROR(INDEX('02_DS_Nhan_Viec'!$J:$J,MATCH($B29,'02_DS_Nhan_Viec'!$B:$B,0)),""),'05_Theo_Doi_Gio_Cong_7_Ngay'!$B:$B,0)),"")="",IFERROR(INDEX('05_Theo_Doi_Gio_Cong_7_Ngay'!$R:$R,MATCH(IFERROR(INDEX('02_DS_Nhan_Viec'!$J:$J,MATCH($B29,'02_DS_Nhan_Viec'!$B:$B,0)),""),'05_Theo_Doi_Gio_Cong_7_Ngay'!$B:$B,0)),0)=0),"Đang theo dõi",IFERROR(INDEX('06_DS_Chinh_Thuc'!$K:$K,MATCH(IFERROR(INDEX('05_Theo_Doi_Gio_Cong_7_Ngay'!$R:$R,MATCH(IFERROR(INDEX('02_DS_Nhan_Viec'!$J:$J,MATCH($B29,'02_DS_Nhan_Viec'!$B:$B,0)),""),'05_Theo_Doi_Gio_Cong_7_Ngay'!$B:$B,0)),0),'06_DS_Chinh_Thuc'!$B:$B,0)),"Đang theo dõi"))))</f>
      </c>
    </row>
    <row r="30" ht="14.25" customHeight="1" spans="1:8" x14ac:dyDescent="0.25">
      <c r="A30" s="78">
        <v>25</v>
      </c>
      <c r="B30" s="79">
        <f t="array" ref="B30">IFERROR(INDEX('02_DS_Nhan_Viec'!$B:$B,MATCH(25,'02_DS_Nhan_Viec'!$L:$L,0)),"")</f>
      </c>
      <c r="C30" s="79">
        <f t="array" ref="C30">IFERROR(INDEX('02_DS_Nhan_Viec'!$C:$C,MATCH(25,'02_DS_Nhan_Viec'!$L:$L,0)),"")</f>
      </c>
      <c r="D30" s="80">
        <f t="array" ref="D30">IFERROR(INDEX('02_DS_Nhan_Viec'!$D:$D,MATCH(25,'02_DS_Nhan_Viec'!$L:$L,0)),"")</f>
      </c>
      <c r="E30" s="80">
        <f t="array" ref="E30">IFERROR(INDEX('02_DS_Nhan_Viec'!$E:$E,MATCH(25,'02_DS_Nhan_Viec'!$L:$L,0)),"")</f>
      </c>
      <c r="F30" s="79">
        <f t="array" ref="F30">IFERROR(INDEX('02_DS_Nhan_Viec'!$F:$F,MATCH(25,'02_DS_Nhan_Viec'!$L:$L,0)),"")</f>
      </c>
      <c r="G30" s="79">
        <f t="array" ref="G30">IFERROR(INDEX('02_DS_Nhan_Viec'!$K:$K,MATCH(25,'02_DS_Nhan_Viec'!$L:$L,0)),"")</f>
      </c>
      <c r="H30" s="61">
        <f t="array" ref="H30">IF($B30="","",IF(IFERROR(INDEX('02_DS_Nhan_Viec'!$J:$J,MATCH($B30,'02_DS_Nhan_Viec'!$B:$B,0)),"")="","Đang theo dõi",IF(OR(IFERROR(INDEX('05_Theo_Doi_Gio_Cong_7_Ngay'!$R:$R,MATCH(IFERROR(INDEX('02_DS_Nhan_Viec'!$J:$J,MATCH($B30,'02_DS_Nhan_Viec'!$B:$B,0)),""),'05_Theo_Doi_Gio_Cong_7_Ngay'!$B:$B,0)),"")="",IFERROR(INDEX('05_Theo_Doi_Gio_Cong_7_Ngay'!$R:$R,MATCH(IFERROR(INDEX('02_DS_Nhan_Viec'!$J:$J,MATCH($B30,'02_DS_Nhan_Viec'!$B:$B,0)),""),'05_Theo_Doi_Gio_Cong_7_Ngay'!$B:$B,0)),0)=0),"Đang theo dõi",IFERROR(INDEX('06_DS_Chinh_Thuc'!$K:$K,MATCH(IFERROR(INDEX('05_Theo_Doi_Gio_Cong_7_Ngay'!$R:$R,MATCH(IFERROR(INDEX('02_DS_Nhan_Viec'!$J:$J,MATCH($B30,'02_DS_Nhan_Viec'!$B:$B,0)),""),'05_Theo_Doi_Gio_Cong_7_Ngay'!$B:$B,0)),0),'06_DS_Chinh_Thuc'!$B:$B,0)),"Đang theo dõi"))))</f>
      </c>
    </row>
    <row r="31" ht="14.25" customHeight="1" spans="1:8" x14ac:dyDescent="0.25">
      <c r="A31" s="78">
        <v>26</v>
      </c>
      <c r="B31" s="79">
        <f t="array" ref="B31">IFERROR(INDEX('02_DS_Nhan_Viec'!$B:$B,MATCH(26,'02_DS_Nhan_Viec'!$L:$L,0)),"")</f>
      </c>
      <c r="C31" s="79">
        <f t="array" ref="C31">IFERROR(INDEX('02_DS_Nhan_Viec'!$C:$C,MATCH(26,'02_DS_Nhan_Viec'!$L:$L,0)),"")</f>
      </c>
      <c r="D31" s="80">
        <f t="array" ref="D31">IFERROR(INDEX('02_DS_Nhan_Viec'!$D:$D,MATCH(26,'02_DS_Nhan_Viec'!$L:$L,0)),"")</f>
      </c>
      <c r="E31" s="80">
        <f t="array" ref="E31">IFERROR(INDEX('02_DS_Nhan_Viec'!$E:$E,MATCH(26,'02_DS_Nhan_Viec'!$L:$L,0)),"")</f>
      </c>
      <c r="F31" s="79">
        <f t="array" ref="F31">IFERROR(INDEX('02_DS_Nhan_Viec'!$F:$F,MATCH(26,'02_DS_Nhan_Viec'!$L:$L,0)),"")</f>
      </c>
      <c r="G31" s="79">
        <f t="array" ref="G31">IFERROR(INDEX('02_DS_Nhan_Viec'!$K:$K,MATCH(26,'02_DS_Nhan_Viec'!$L:$L,0)),"")</f>
      </c>
      <c r="H31" s="61">
        <f t="array" ref="H31">IF($B31="","",IF(IFERROR(INDEX('02_DS_Nhan_Viec'!$J:$J,MATCH($B31,'02_DS_Nhan_Viec'!$B:$B,0)),"")="","Đang theo dõi",IF(OR(IFERROR(INDEX('05_Theo_Doi_Gio_Cong_7_Ngay'!$R:$R,MATCH(IFERROR(INDEX('02_DS_Nhan_Viec'!$J:$J,MATCH($B31,'02_DS_Nhan_Viec'!$B:$B,0)),""),'05_Theo_Doi_Gio_Cong_7_Ngay'!$B:$B,0)),"")="",IFERROR(INDEX('05_Theo_Doi_Gio_Cong_7_Ngay'!$R:$R,MATCH(IFERROR(INDEX('02_DS_Nhan_Viec'!$J:$J,MATCH($B31,'02_DS_Nhan_Viec'!$B:$B,0)),""),'05_Theo_Doi_Gio_Cong_7_Ngay'!$B:$B,0)),0)=0),"Đang theo dõi",IFERROR(INDEX('06_DS_Chinh_Thuc'!$K:$K,MATCH(IFERROR(INDEX('05_Theo_Doi_Gio_Cong_7_Ngay'!$R:$R,MATCH(IFERROR(INDEX('02_DS_Nhan_Viec'!$J:$J,MATCH($B31,'02_DS_Nhan_Viec'!$B:$B,0)),""),'05_Theo_Doi_Gio_Cong_7_Ngay'!$B:$B,0)),0),'06_DS_Chinh_Thuc'!$B:$B,0)),"Đang theo dõi"))))</f>
      </c>
    </row>
    <row r="32" ht="14.25" customHeight="1" spans="1:8" x14ac:dyDescent="0.25">
      <c r="A32" s="78">
        <v>27</v>
      </c>
      <c r="B32" s="79">
        <f t="array" ref="B32">IFERROR(INDEX('02_DS_Nhan_Viec'!$B:$B,MATCH(27,'02_DS_Nhan_Viec'!$L:$L,0)),"")</f>
      </c>
      <c r="C32" s="79">
        <f t="array" ref="C32">IFERROR(INDEX('02_DS_Nhan_Viec'!$C:$C,MATCH(27,'02_DS_Nhan_Viec'!$L:$L,0)),"")</f>
      </c>
      <c r="D32" s="80">
        <f t="array" ref="D32">IFERROR(INDEX('02_DS_Nhan_Viec'!$D:$D,MATCH(27,'02_DS_Nhan_Viec'!$L:$L,0)),"")</f>
      </c>
      <c r="E32" s="80">
        <f t="array" ref="E32">IFERROR(INDEX('02_DS_Nhan_Viec'!$E:$E,MATCH(27,'02_DS_Nhan_Viec'!$L:$L,0)),"")</f>
      </c>
      <c r="F32" s="79">
        <f t="array" ref="F32">IFERROR(INDEX('02_DS_Nhan_Viec'!$F:$F,MATCH(27,'02_DS_Nhan_Viec'!$L:$L,0)),"")</f>
      </c>
      <c r="G32" s="79">
        <f t="array" ref="G32">IFERROR(INDEX('02_DS_Nhan_Viec'!$K:$K,MATCH(27,'02_DS_Nhan_Viec'!$L:$L,0)),"")</f>
      </c>
      <c r="H32" s="61">
        <f t="array" ref="H32">IF($B32="","",IF(IFERROR(INDEX('02_DS_Nhan_Viec'!$J:$J,MATCH($B32,'02_DS_Nhan_Viec'!$B:$B,0)),"")="","Đang theo dõi",IF(OR(IFERROR(INDEX('05_Theo_Doi_Gio_Cong_7_Ngay'!$R:$R,MATCH(IFERROR(INDEX('02_DS_Nhan_Viec'!$J:$J,MATCH($B32,'02_DS_Nhan_Viec'!$B:$B,0)),""),'05_Theo_Doi_Gio_Cong_7_Ngay'!$B:$B,0)),"")="",IFERROR(INDEX('05_Theo_Doi_Gio_Cong_7_Ngay'!$R:$R,MATCH(IFERROR(INDEX('02_DS_Nhan_Viec'!$J:$J,MATCH($B32,'02_DS_Nhan_Viec'!$B:$B,0)),""),'05_Theo_Doi_Gio_Cong_7_Ngay'!$B:$B,0)),0)=0),"Đang theo dõi",IFERROR(INDEX('06_DS_Chinh_Thuc'!$K:$K,MATCH(IFERROR(INDEX('05_Theo_Doi_Gio_Cong_7_Ngay'!$R:$R,MATCH(IFERROR(INDEX('02_DS_Nhan_Viec'!$J:$J,MATCH($B32,'02_DS_Nhan_Viec'!$B:$B,0)),""),'05_Theo_Doi_Gio_Cong_7_Ngay'!$B:$B,0)),0),'06_DS_Chinh_Thuc'!$B:$B,0)),"Đang theo dõi"))))</f>
      </c>
    </row>
    <row r="33" ht="14.25" customHeight="1" spans="1:8" x14ac:dyDescent="0.25">
      <c r="A33" s="78">
        <v>28</v>
      </c>
      <c r="B33" s="79">
        <f t="array" ref="B33">IFERROR(INDEX('02_DS_Nhan_Viec'!$B:$B,MATCH(28,'02_DS_Nhan_Viec'!$L:$L,0)),"")</f>
      </c>
      <c r="C33" s="79">
        <f t="array" ref="C33">IFERROR(INDEX('02_DS_Nhan_Viec'!$C:$C,MATCH(28,'02_DS_Nhan_Viec'!$L:$L,0)),"")</f>
      </c>
      <c r="D33" s="80">
        <f t="array" ref="D33">IFERROR(INDEX('02_DS_Nhan_Viec'!$D:$D,MATCH(28,'02_DS_Nhan_Viec'!$L:$L,0)),"")</f>
      </c>
      <c r="E33" s="80">
        <f t="array" ref="E33">IFERROR(INDEX('02_DS_Nhan_Viec'!$E:$E,MATCH(28,'02_DS_Nhan_Viec'!$L:$L,0)),"")</f>
      </c>
      <c r="F33" s="79">
        <f t="array" ref="F33">IFERROR(INDEX('02_DS_Nhan_Viec'!$F:$F,MATCH(28,'02_DS_Nhan_Viec'!$L:$L,0)),"")</f>
      </c>
      <c r="G33" s="79">
        <f t="array" ref="G33">IFERROR(INDEX('02_DS_Nhan_Viec'!$K:$K,MATCH(28,'02_DS_Nhan_Viec'!$L:$L,0)),"")</f>
      </c>
      <c r="H33" s="61">
        <f t="array" ref="H33">IF($B33="","",IF(IFERROR(INDEX('02_DS_Nhan_Viec'!$J:$J,MATCH($B33,'02_DS_Nhan_Viec'!$B:$B,0)),"")="","Đang theo dõi",IF(OR(IFERROR(INDEX('05_Theo_Doi_Gio_Cong_7_Ngay'!$R:$R,MATCH(IFERROR(INDEX('02_DS_Nhan_Viec'!$J:$J,MATCH($B33,'02_DS_Nhan_Viec'!$B:$B,0)),""),'05_Theo_Doi_Gio_Cong_7_Ngay'!$B:$B,0)),"")="",IFERROR(INDEX('05_Theo_Doi_Gio_Cong_7_Ngay'!$R:$R,MATCH(IFERROR(INDEX('02_DS_Nhan_Viec'!$J:$J,MATCH($B33,'02_DS_Nhan_Viec'!$B:$B,0)),""),'05_Theo_Doi_Gio_Cong_7_Ngay'!$B:$B,0)),0)=0),"Đang theo dõi",IFERROR(INDEX('06_DS_Chinh_Thuc'!$K:$K,MATCH(IFERROR(INDEX('05_Theo_Doi_Gio_Cong_7_Ngay'!$R:$R,MATCH(IFERROR(INDEX('02_DS_Nhan_Viec'!$J:$J,MATCH($B33,'02_DS_Nhan_Viec'!$B:$B,0)),""),'05_Theo_Doi_Gio_Cong_7_Ngay'!$B:$B,0)),0),'06_DS_Chinh_Thuc'!$B:$B,0)),"Đang theo dõi"))))</f>
      </c>
    </row>
    <row r="34" ht="14.25" customHeight="1" spans="1:8" x14ac:dyDescent="0.25">
      <c r="A34" s="78">
        <v>29</v>
      </c>
      <c r="B34" s="79">
        <f t="array" ref="B34">IFERROR(INDEX('02_DS_Nhan_Viec'!$B:$B,MATCH(29,'02_DS_Nhan_Viec'!$L:$L,0)),"")</f>
      </c>
      <c r="C34" s="79">
        <f t="array" ref="C34">IFERROR(INDEX('02_DS_Nhan_Viec'!$C:$C,MATCH(29,'02_DS_Nhan_Viec'!$L:$L,0)),"")</f>
      </c>
      <c r="D34" s="80">
        <f t="array" ref="D34">IFERROR(INDEX('02_DS_Nhan_Viec'!$D:$D,MATCH(29,'02_DS_Nhan_Viec'!$L:$L,0)),"")</f>
      </c>
      <c r="E34" s="80">
        <f t="array" ref="E34">IFERROR(INDEX('02_DS_Nhan_Viec'!$E:$E,MATCH(29,'02_DS_Nhan_Viec'!$L:$L,0)),"")</f>
      </c>
      <c r="F34" s="79">
        <f t="array" ref="F34">IFERROR(INDEX('02_DS_Nhan_Viec'!$F:$F,MATCH(29,'02_DS_Nhan_Viec'!$L:$L,0)),"")</f>
      </c>
      <c r="G34" s="79">
        <f t="array" ref="G34">IFERROR(INDEX('02_DS_Nhan_Viec'!$K:$K,MATCH(29,'02_DS_Nhan_Viec'!$L:$L,0)),"")</f>
      </c>
      <c r="H34" s="61">
        <f t="array" ref="H34">IF($B34="","",IF(IFERROR(INDEX('02_DS_Nhan_Viec'!$J:$J,MATCH($B34,'02_DS_Nhan_Viec'!$B:$B,0)),"")="","Đang theo dõi",IF(OR(IFERROR(INDEX('05_Theo_Doi_Gio_Cong_7_Ngay'!$R:$R,MATCH(IFERROR(INDEX('02_DS_Nhan_Viec'!$J:$J,MATCH($B34,'02_DS_Nhan_Viec'!$B:$B,0)),""),'05_Theo_Doi_Gio_Cong_7_Ngay'!$B:$B,0)),"")="",IFERROR(INDEX('05_Theo_Doi_Gio_Cong_7_Ngay'!$R:$R,MATCH(IFERROR(INDEX('02_DS_Nhan_Viec'!$J:$J,MATCH($B34,'02_DS_Nhan_Viec'!$B:$B,0)),""),'05_Theo_Doi_Gio_Cong_7_Ngay'!$B:$B,0)),0)=0),"Đang theo dõi",IFERROR(INDEX('06_DS_Chinh_Thuc'!$K:$K,MATCH(IFERROR(INDEX('05_Theo_Doi_Gio_Cong_7_Ngay'!$R:$R,MATCH(IFERROR(INDEX('02_DS_Nhan_Viec'!$J:$J,MATCH($B34,'02_DS_Nhan_Viec'!$B:$B,0)),""),'05_Theo_Doi_Gio_Cong_7_Ngay'!$B:$B,0)),0),'06_DS_Chinh_Thuc'!$B:$B,0)),"Đang theo dõi"))))</f>
      </c>
    </row>
    <row r="35" ht="14.25" customHeight="1" spans="1:8" x14ac:dyDescent="0.25">
      <c r="A35" s="78">
        <v>30</v>
      </c>
      <c r="B35" s="79">
        <f t="array" ref="B35">IFERROR(INDEX('02_DS_Nhan_Viec'!$B:$B,MATCH(30,'02_DS_Nhan_Viec'!$L:$L,0)),"")</f>
      </c>
      <c r="C35" s="79">
        <f t="array" ref="C35">IFERROR(INDEX('02_DS_Nhan_Viec'!$C:$C,MATCH(30,'02_DS_Nhan_Viec'!$L:$L,0)),"")</f>
      </c>
      <c r="D35" s="80">
        <f t="array" ref="D35">IFERROR(INDEX('02_DS_Nhan_Viec'!$D:$D,MATCH(30,'02_DS_Nhan_Viec'!$L:$L,0)),"")</f>
      </c>
      <c r="E35" s="80">
        <f t="array" ref="E35">IFERROR(INDEX('02_DS_Nhan_Viec'!$E:$E,MATCH(30,'02_DS_Nhan_Viec'!$L:$L,0)),"")</f>
      </c>
      <c r="F35" s="79">
        <f t="array" ref="F35">IFERROR(INDEX('02_DS_Nhan_Viec'!$F:$F,MATCH(30,'02_DS_Nhan_Viec'!$L:$L,0)),"")</f>
      </c>
      <c r="G35" s="79">
        <f t="array" ref="G35">IFERROR(INDEX('02_DS_Nhan_Viec'!$K:$K,MATCH(30,'02_DS_Nhan_Viec'!$L:$L,0)),"")</f>
      </c>
      <c r="H35" s="61">
        <f t="array" ref="H35">IF($B35="","",IF(IFERROR(INDEX('02_DS_Nhan_Viec'!$J:$J,MATCH($B35,'02_DS_Nhan_Viec'!$B:$B,0)),"")="","Đang theo dõi",IF(OR(IFERROR(INDEX('05_Theo_Doi_Gio_Cong_7_Ngay'!$R:$R,MATCH(IFERROR(INDEX('02_DS_Nhan_Viec'!$J:$J,MATCH($B35,'02_DS_Nhan_Viec'!$B:$B,0)),""),'05_Theo_Doi_Gio_Cong_7_Ngay'!$B:$B,0)),"")="",IFERROR(INDEX('05_Theo_Doi_Gio_Cong_7_Ngay'!$R:$R,MATCH(IFERROR(INDEX('02_DS_Nhan_Viec'!$J:$J,MATCH($B35,'02_DS_Nhan_Viec'!$B:$B,0)),""),'05_Theo_Doi_Gio_Cong_7_Ngay'!$B:$B,0)),0)=0),"Đang theo dõi",IFERROR(INDEX('06_DS_Chinh_Thuc'!$K:$K,MATCH(IFERROR(INDEX('05_Theo_Doi_Gio_Cong_7_Ngay'!$R:$R,MATCH(IFERROR(INDEX('02_DS_Nhan_Viec'!$J:$J,MATCH($B35,'02_DS_Nhan_Viec'!$B:$B,0)),""),'05_Theo_Doi_Gio_Cong_7_Ngay'!$B:$B,0)),0),'06_DS_Chinh_Thuc'!$B:$B,0)),"Đang theo dõi"))))</f>
      </c>
    </row>
    <row r="36" ht="14.25" customHeight="1" spans="1:8" x14ac:dyDescent="0.25">
      <c r="A36" s="78">
        <v>31</v>
      </c>
      <c r="B36" s="79">
        <f t="array" ref="B36">IFERROR(INDEX('02_DS_Nhan_Viec'!$B:$B,MATCH(31,'02_DS_Nhan_Viec'!$L:$L,0)),"")</f>
      </c>
      <c r="C36" s="79">
        <f t="array" ref="C36">IFERROR(INDEX('02_DS_Nhan_Viec'!$C:$C,MATCH(31,'02_DS_Nhan_Viec'!$L:$L,0)),"")</f>
      </c>
      <c r="D36" s="80">
        <f t="array" ref="D36">IFERROR(INDEX('02_DS_Nhan_Viec'!$D:$D,MATCH(31,'02_DS_Nhan_Viec'!$L:$L,0)),"")</f>
      </c>
      <c r="E36" s="80">
        <f t="array" ref="E36">IFERROR(INDEX('02_DS_Nhan_Viec'!$E:$E,MATCH(31,'02_DS_Nhan_Viec'!$L:$L,0)),"")</f>
      </c>
      <c r="F36" s="79">
        <f t="array" ref="F36">IFERROR(INDEX('02_DS_Nhan_Viec'!$F:$F,MATCH(31,'02_DS_Nhan_Viec'!$L:$L,0)),"")</f>
      </c>
      <c r="G36" s="79">
        <f t="array" ref="G36">IFERROR(INDEX('02_DS_Nhan_Viec'!$K:$K,MATCH(31,'02_DS_Nhan_Viec'!$L:$L,0)),"")</f>
      </c>
      <c r="H36" s="61">
        <f t="array" ref="H36">IF($B36="","",IF(IFERROR(INDEX('02_DS_Nhan_Viec'!$J:$J,MATCH($B36,'02_DS_Nhan_Viec'!$B:$B,0)),"")="","Đang theo dõi",IF(OR(IFERROR(INDEX('05_Theo_Doi_Gio_Cong_7_Ngay'!$R:$R,MATCH(IFERROR(INDEX('02_DS_Nhan_Viec'!$J:$J,MATCH($B36,'02_DS_Nhan_Viec'!$B:$B,0)),""),'05_Theo_Doi_Gio_Cong_7_Ngay'!$B:$B,0)),"")="",IFERROR(INDEX('05_Theo_Doi_Gio_Cong_7_Ngay'!$R:$R,MATCH(IFERROR(INDEX('02_DS_Nhan_Viec'!$J:$J,MATCH($B36,'02_DS_Nhan_Viec'!$B:$B,0)),""),'05_Theo_Doi_Gio_Cong_7_Ngay'!$B:$B,0)),0)=0),"Đang theo dõi",IFERROR(INDEX('06_DS_Chinh_Thuc'!$K:$K,MATCH(IFERROR(INDEX('05_Theo_Doi_Gio_Cong_7_Ngay'!$R:$R,MATCH(IFERROR(INDEX('02_DS_Nhan_Viec'!$J:$J,MATCH($B36,'02_DS_Nhan_Viec'!$B:$B,0)),""),'05_Theo_Doi_Gio_Cong_7_Ngay'!$B:$B,0)),0),'06_DS_Chinh_Thuc'!$B:$B,0)),"Đang theo dõi"))))</f>
      </c>
    </row>
    <row r="37" ht="14.25" customHeight="1" spans="1:8" x14ac:dyDescent="0.25">
      <c r="A37" s="78">
        <v>32</v>
      </c>
      <c r="B37" s="79">
        <f t="array" ref="B37">IFERROR(INDEX('02_DS_Nhan_Viec'!$B:$B,MATCH(32,'02_DS_Nhan_Viec'!$L:$L,0)),"")</f>
      </c>
      <c r="C37" s="79">
        <f t="array" ref="C37">IFERROR(INDEX('02_DS_Nhan_Viec'!$C:$C,MATCH(32,'02_DS_Nhan_Viec'!$L:$L,0)),"")</f>
      </c>
      <c r="D37" s="80">
        <f t="array" ref="D37">IFERROR(INDEX('02_DS_Nhan_Viec'!$D:$D,MATCH(32,'02_DS_Nhan_Viec'!$L:$L,0)),"")</f>
      </c>
      <c r="E37" s="80">
        <f t="array" ref="E37">IFERROR(INDEX('02_DS_Nhan_Viec'!$E:$E,MATCH(32,'02_DS_Nhan_Viec'!$L:$L,0)),"")</f>
      </c>
      <c r="F37" s="79">
        <f t="array" ref="F37">IFERROR(INDEX('02_DS_Nhan_Viec'!$F:$F,MATCH(32,'02_DS_Nhan_Viec'!$L:$L,0)),"")</f>
      </c>
      <c r="G37" s="79">
        <f t="array" ref="G37">IFERROR(INDEX('02_DS_Nhan_Viec'!$K:$K,MATCH(32,'02_DS_Nhan_Viec'!$L:$L,0)),"")</f>
      </c>
      <c r="H37" s="61">
        <f t="array" ref="H37">IF($B37="","",IF(IFERROR(INDEX('02_DS_Nhan_Viec'!$J:$J,MATCH($B37,'02_DS_Nhan_Viec'!$B:$B,0)),"")="","Đang theo dõi",IF(OR(IFERROR(INDEX('05_Theo_Doi_Gio_Cong_7_Ngay'!$R:$R,MATCH(IFERROR(INDEX('02_DS_Nhan_Viec'!$J:$J,MATCH($B37,'02_DS_Nhan_Viec'!$B:$B,0)),""),'05_Theo_Doi_Gio_Cong_7_Ngay'!$B:$B,0)),"")="",IFERROR(INDEX('05_Theo_Doi_Gio_Cong_7_Ngay'!$R:$R,MATCH(IFERROR(INDEX('02_DS_Nhan_Viec'!$J:$J,MATCH($B37,'02_DS_Nhan_Viec'!$B:$B,0)),""),'05_Theo_Doi_Gio_Cong_7_Ngay'!$B:$B,0)),0)=0),"Đang theo dõi",IFERROR(INDEX('06_DS_Chinh_Thuc'!$K:$K,MATCH(IFERROR(INDEX('05_Theo_Doi_Gio_Cong_7_Ngay'!$R:$R,MATCH(IFERROR(INDEX('02_DS_Nhan_Viec'!$J:$J,MATCH($B37,'02_DS_Nhan_Viec'!$B:$B,0)),""),'05_Theo_Doi_Gio_Cong_7_Ngay'!$B:$B,0)),0),'06_DS_Chinh_Thuc'!$B:$B,0)),"Đang theo dõi"))))</f>
      </c>
    </row>
    <row r="38" ht="14.25" customHeight="1" spans="1:8" x14ac:dyDescent="0.25">
      <c r="A38" s="78">
        <v>33</v>
      </c>
      <c r="B38" s="79">
        <f t="array" ref="B38">IFERROR(INDEX('02_DS_Nhan_Viec'!$B:$B,MATCH(33,'02_DS_Nhan_Viec'!$L:$L,0)),"")</f>
      </c>
      <c r="C38" s="79">
        <f t="array" ref="C38">IFERROR(INDEX('02_DS_Nhan_Viec'!$C:$C,MATCH(33,'02_DS_Nhan_Viec'!$L:$L,0)),"")</f>
      </c>
      <c r="D38" s="80">
        <f t="array" ref="D38">IFERROR(INDEX('02_DS_Nhan_Viec'!$D:$D,MATCH(33,'02_DS_Nhan_Viec'!$L:$L,0)),"")</f>
      </c>
      <c r="E38" s="80">
        <f t="array" ref="E38">IFERROR(INDEX('02_DS_Nhan_Viec'!$E:$E,MATCH(33,'02_DS_Nhan_Viec'!$L:$L,0)),"")</f>
      </c>
      <c r="F38" s="79">
        <f t="array" ref="F38">IFERROR(INDEX('02_DS_Nhan_Viec'!$F:$F,MATCH(33,'02_DS_Nhan_Viec'!$L:$L,0)),"")</f>
      </c>
      <c r="G38" s="79">
        <f t="array" ref="G38">IFERROR(INDEX('02_DS_Nhan_Viec'!$K:$K,MATCH(33,'02_DS_Nhan_Viec'!$L:$L,0)),"")</f>
      </c>
      <c r="H38" s="61">
        <f t="array" ref="H38">IF($B38="","",IF(IFERROR(INDEX('02_DS_Nhan_Viec'!$J:$J,MATCH($B38,'02_DS_Nhan_Viec'!$B:$B,0)),"")="","Đang theo dõi",IF(OR(IFERROR(INDEX('05_Theo_Doi_Gio_Cong_7_Ngay'!$R:$R,MATCH(IFERROR(INDEX('02_DS_Nhan_Viec'!$J:$J,MATCH($B38,'02_DS_Nhan_Viec'!$B:$B,0)),""),'05_Theo_Doi_Gio_Cong_7_Ngay'!$B:$B,0)),"")="",IFERROR(INDEX('05_Theo_Doi_Gio_Cong_7_Ngay'!$R:$R,MATCH(IFERROR(INDEX('02_DS_Nhan_Viec'!$J:$J,MATCH($B38,'02_DS_Nhan_Viec'!$B:$B,0)),""),'05_Theo_Doi_Gio_Cong_7_Ngay'!$B:$B,0)),0)=0),"Đang theo dõi",IFERROR(INDEX('06_DS_Chinh_Thuc'!$K:$K,MATCH(IFERROR(INDEX('05_Theo_Doi_Gio_Cong_7_Ngay'!$R:$R,MATCH(IFERROR(INDEX('02_DS_Nhan_Viec'!$J:$J,MATCH($B38,'02_DS_Nhan_Viec'!$B:$B,0)),""),'05_Theo_Doi_Gio_Cong_7_Ngay'!$B:$B,0)),0),'06_DS_Chinh_Thuc'!$B:$B,0)),"Đang theo dõi"))))</f>
      </c>
    </row>
    <row r="39" ht="14.25" customHeight="1" spans="1:8" x14ac:dyDescent="0.25">
      <c r="A39" s="78">
        <v>34</v>
      </c>
      <c r="B39" s="79">
        <f t="array" ref="B39">IFERROR(INDEX('02_DS_Nhan_Viec'!$B:$B,MATCH(34,'02_DS_Nhan_Viec'!$L:$L,0)),"")</f>
      </c>
      <c r="C39" s="79">
        <f t="array" ref="C39">IFERROR(INDEX('02_DS_Nhan_Viec'!$C:$C,MATCH(34,'02_DS_Nhan_Viec'!$L:$L,0)),"")</f>
      </c>
      <c r="D39" s="80">
        <f t="array" ref="D39">IFERROR(INDEX('02_DS_Nhan_Viec'!$D:$D,MATCH(34,'02_DS_Nhan_Viec'!$L:$L,0)),"")</f>
      </c>
      <c r="E39" s="80">
        <f t="array" ref="E39">IFERROR(INDEX('02_DS_Nhan_Viec'!$E:$E,MATCH(34,'02_DS_Nhan_Viec'!$L:$L,0)),"")</f>
      </c>
      <c r="F39" s="79">
        <f t="array" ref="F39">IFERROR(INDEX('02_DS_Nhan_Viec'!$F:$F,MATCH(34,'02_DS_Nhan_Viec'!$L:$L,0)),"")</f>
      </c>
      <c r="G39" s="79">
        <f t="array" ref="G39">IFERROR(INDEX('02_DS_Nhan_Viec'!$K:$K,MATCH(34,'02_DS_Nhan_Viec'!$L:$L,0)),"")</f>
      </c>
      <c r="H39" s="61">
        <f t="array" ref="H39">IF($B39="","",IF(IFERROR(INDEX('02_DS_Nhan_Viec'!$J:$J,MATCH($B39,'02_DS_Nhan_Viec'!$B:$B,0)),"")="","Đang theo dõi",IF(OR(IFERROR(INDEX('05_Theo_Doi_Gio_Cong_7_Ngay'!$R:$R,MATCH(IFERROR(INDEX('02_DS_Nhan_Viec'!$J:$J,MATCH($B39,'02_DS_Nhan_Viec'!$B:$B,0)),""),'05_Theo_Doi_Gio_Cong_7_Ngay'!$B:$B,0)),"")="",IFERROR(INDEX('05_Theo_Doi_Gio_Cong_7_Ngay'!$R:$R,MATCH(IFERROR(INDEX('02_DS_Nhan_Viec'!$J:$J,MATCH($B39,'02_DS_Nhan_Viec'!$B:$B,0)),""),'05_Theo_Doi_Gio_Cong_7_Ngay'!$B:$B,0)),0)=0),"Đang theo dõi",IFERROR(INDEX('06_DS_Chinh_Thuc'!$K:$K,MATCH(IFERROR(INDEX('05_Theo_Doi_Gio_Cong_7_Ngay'!$R:$R,MATCH(IFERROR(INDEX('02_DS_Nhan_Viec'!$J:$J,MATCH($B39,'02_DS_Nhan_Viec'!$B:$B,0)),""),'05_Theo_Doi_Gio_Cong_7_Ngay'!$B:$B,0)),0),'06_DS_Chinh_Thuc'!$B:$B,0)),"Đang theo dõi"))))</f>
      </c>
    </row>
    <row r="40" ht="14.25" customHeight="1" spans="1:8" x14ac:dyDescent="0.25">
      <c r="A40" s="78">
        <v>35</v>
      </c>
      <c r="B40" s="79">
        <f t="array" ref="B40">IFERROR(INDEX('02_DS_Nhan_Viec'!$B:$B,MATCH(35,'02_DS_Nhan_Viec'!$L:$L,0)),"")</f>
      </c>
      <c r="C40" s="79">
        <f t="array" ref="C40">IFERROR(INDEX('02_DS_Nhan_Viec'!$C:$C,MATCH(35,'02_DS_Nhan_Viec'!$L:$L,0)),"")</f>
      </c>
      <c r="D40" s="80">
        <f t="array" ref="D40">IFERROR(INDEX('02_DS_Nhan_Viec'!$D:$D,MATCH(35,'02_DS_Nhan_Viec'!$L:$L,0)),"")</f>
      </c>
      <c r="E40" s="80">
        <f t="array" ref="E40">IFERROR(INDEX('02_DS_Nhan_Viec'!$E:$E,MATCH(35,'02_DS_Nhan_Viec'!$L:$L,0)),"")</f>
      </c>
      <c r="F40" s="79">
        <f t="array" ref="F40">IFERROR(INDEX('02_DS_Nhan_Viec'!$F:$F,MATCH(35,'02_DS_Nhan_Viec'!$L:$L,0)),"")</f>
      </c>
      <c r="G40" s="79">
        <f t="array" ref="G40">IFERROR(INDEX('02_DS_Nhan_Viec'!$K:$K,MATCH(35,'02_DS_Nhan_Viec'!$L:$L,0)),"")</f>
      </c>
      <c r="H40" s="61">
        <f t="array" ref="H40">IF($B40="","",IF(IFERROR(INDEX('02_DS_Nhan_Viec'!$J:$J,MATCH($B40,'02_DS_Nhan_Viec'!$B:$B,0)),"")="","Đang theo dõi",IF(OR(IFERROR(INDEX('05_Theo_Doi_Gio_Cong_7_Ngay'!$R:$R,MATCH(IFERROR(INDEX('02_DS_Nhan_Viec'!$J:$J,MATCH($B40,'02_DS_Nhan_Viec'!$B:$B,0)),""),'05_Theo_Doi_Gio_Cong_7_Ngay'!$B:$B,0)),"")="",IFERROR(INDEX('05_Theo_Doi_Gio_Cong_7_Ngay'!$R:$R,MATCH(IFERROR(INDEX('02_DS_Nhan_Viec'!$J:$J,MATCH($B40,'02_DS_Nhan_Viec'!$B:$B,0)),""),'05_Theo_Doi_Gio_Cong_7_Ngay'!$B:$B,0)),0)=0),"Đang theo dõi",IFERROR(INDEX('06_DS_Chinh_Thuc'!$K:$K,MATCH(IFERROR(INDEX('05_Theo_Doi_Gio_Cong_7_Ngay'!$R:$R,MATCH(IFERROR(INDEX('02_DS_Nhan_Viec'!$J:$J,MATCH($B40,'02_DS_Nhan_Viec'!$B:$B,0)),""),'05_Theo_Doi_Gio_Cong_7_Ngay'!$B:$B,0)),0),'06_DS_Chinh_Thuc'!$B:$B,0)),"Đang theo dõi"))))</f>
      </c>
    </row>
    <row r="41" ht="14.25" customHeight="1" spans="1:8" x14ac:dyDescent="0.25">
      <c r="A41" s="78">
        <v>36</v>
      </c>
      <c r="B41" s="79">
        <f t="array" ref="B41">IFERROR(INDEX('02_DS_Nhan_Viec'!$B:$B,MATCH(36,'02_DS_Nhan_Viec'!$L:$L,0)),"")</f>
      </c>
      <c r="C41" s="79">
        <f t="array" ref="C41">IFERROR(INDEX('02_DS_Nhan_Viec'!$C:$C,MATCH(36,'02_DS_Nhan_Viec'!$L:$L,0)),"")</f>
      </c>
      <c r="D41" s="80">
        <f t="array" ref="D41">IFERROR(INDEX('02_DS_Nhan_Viec'!$D:$D,MATCH(36,'02_DS_Nhan_Viec'!$L:$L,0)),"")</f>
      </c>
      <c r="E41" s="80">
        <f t="array" ref="E41">IFERROR(INDEX('02_DS_Nhan_Viec'!$E:$E,MATCH(36,'02_DS_Nhan_Viec'!$L:$L,0)),"")</f>
      </c>
      <c r="F41" s="79">
        <f t="array" ref="F41">IFERROR(INDEX('02_DS_Nhan_Viec'!$F:$F,MATCH(36,'02_DS_Nhan_Viec'!$L:$L,0)),"")</f>
      </c>
      <c r="G41" s="79">
        <f t="array" ref="G41">IFERROR(INDEX('02_DS_Nhan_Viec'!$K:$K,MATCH(36,'02_DS_Nhan_Viec'!$L:$L,0)),"")</f>
      </c>
      <c r="H41" s="61">
        <f t="array" ref="H41">IF($B41="","",IF(IFERROR(INDEX('02_DS_Nhan_Viec'!$J:$J,MATCH($B41,'02_DS_Nhan_Viec'!$B:$B,0)),"")="","Đang theo dõi",IF(OR(IFERROR(INDEX('05_Theo_Doi_Gio_Cong_7_Ngay'!$R:$R,MATCH(IFERROR(INDEX('02_DS_Nhan_Viec'!$J:$J,MATCH($B41,'02_DS_Nhan_Viec'!$B:$B,0)),""),'05_Theo_Doi_Gio_Cong_7_Ngay'!$B:$B,0)),"")="",IFERROR(INDEX('05_Theo_Doi_Gio_Cong_7_Ngay'!$R:$R,MATCH(IFERROR(INDEX('02_DS_Nhan_Viec'!$J:$J,MATCH($B41,'02_DS_Nhan_Viec'!$B:$B,0)),""),'05_Theo_Doi_Gio_Cong_7_Ngay'!$B:$B,0)),0)=0),"Đang theo dõi",IFERROR(INDEX('06_DS_Chinh_Thuc'!$K:$K,MATCH(IFERROR(INDEX('05_Theo_Doi_Gio_Cong_7_Ngay'!$R:$R,MATCH(IFERROR(INDEX('02_DS_Nhan_Viec'!$J:$J,MATCH($B41,'02_DS_Nhan_Viec'!$B:$B,0)),""),'05_Theo_Doi_Gio_Cong_7_Ngay'!$B:$B,0)),0),'06_DS_Chinh_Thuc'!$B:$B,0)),"Đang theo dõi"))))</f>
      </c>
    </row>
    <row r="42" ht="14.25" customHeight="1" spans="1:8" x14ac:dyDescent="0.25">
      <c r="A42" s="78">
        <v>37</v>
      </c>
      <c r="B42" s="79">
        <f t="array" ref="B42">IFERROR(INDEX('02_DS_Nhan_Viec'!$B:$B,MATCH(37,'02_DS_Nhan_Viec'!$L:$L,0)),"")</f>
      </c>
      <c r="C42" s="79">
        <f t="array" ref="C42">IFERROR(INDEX('02_DS_Nhan_Viec'!$C:$C,MATCH(37,'02_DS_Nhan_Viec'!$L:$L,0)),"")</f>
      </c>
      <c r="D42" s="80">
        <f t="array" ref="D42">IFERROR(INDEX('02_DS_Nhan_Viec'!$D:$D,MATCH(37,'02_DS_Nhan_Viec'!$L:$L,0)),"")</f>
      </c>
      <c r="E42" s="80">
        <f t="array" ref="E42">IFERROR(INDEX('02_DS_Nhan_Viec'!$E:$E,MATCH(37,'02_DS_Nhan_Viec'!$L:$L,0)),"")</f>
      </c>
      <c r="F42" s="79">
        <f t="array" ref="F42">IFERROR(INDEX('02_DS_Nhan_Viec'!$F:$F,MATCH(37,'02_DS_Nhan_Viec'!$L:$L,0)),"")</f>
      </c>
      <c r="G42" s="79">
        <f t="array" ref="G42">IFERROR(INDEX('02_DS_Nhan_Viec'!$K:$K,MATCH(37,'02_DS_Nhan_Viec'!$L:$L,0)),"")</f>
      </c>
      <c r="H42" s="61">
        <f t="array" ref="H42">IF($B42="","",IF(IFERROR(INDEX('02_DS_Nhan_Viec'!$J:$J,MATCH($B42,'02_DS_Nhan_Viec'!$B:$B,0)),"")="","Đang theo dõi",IF(OR(IFERROR(INDEX('05_Theo_Doi_Gio_Cong_7_Ngay'!$R:$R,MATCH(IFERROR(INDEX('02_DS_Nhan_Viec'!$J:$J,MATCH($B42,'02_DS_Nhan_Viec'!$B:$B,0)),""),'05_Theo_Doi_Gio_Cong_7_Ngay'!$B:$B,0)),"")="",IFERROR(INDEX('05_Theo_Doi_Gio_Cong_7_Ngay'!$R:$R,MATCH(IFERROR(INDEX('02_DS_Nhan_Viec'!$J:$J,MATCH($B42,'02_DS_Nhan_Viec'!$B:$B,0)),""),'05_Theo_Doi_Gio_Cong_7_Ngay'!$B:$B,0)),0)=0),"Đang theo dõi",IFERROR(INDEX('06_DS_Chinh_Thuc'!$K:$K,MATCH(IFERROR(INDEX('05_Theo_Doi_Gio_Cong_7_Ngay'!$R:$R,MATCH(IFERROR(INDEX('02_DS_Nhan_Viec'!$J:$J,MATCH($B42,'02_DS_Nhan_Viec'!$B:$B,0)),""),'05_Theo_Doi_Gio_Cong_7_Ngay'!$B:$B,0)),0),'06_DS_Chinh_Thuc'!$B:$B,0)),"Đang theo dõi"))))</f>
      </c>
    </row>
    <row r="43" ht="14.25" customHeight="1" spans="1:8" x14ac:dyDescent="0.25">
      <c r="A43" s="78">
        <v>38</v>
      </c>
      <c r="B43" s="79">
        <f t="array" ref="B43">IFERROR(INDEX('02_DS_Nhan_Viec'!$B:$B,MATCH(38,'02_DS_Nhan_Viec'!$L:$L,0)),"")</f>
      </c>
      <c r="C43" s="79">
        <f t="array" ref="C43">IFERROR(INDEX('02_DS_Nhan_Viec'!$C:$C,MATCH(38,'02_DS_Nhan_Viec'!$L:$L,0)),"")</f>
      </c>
      <c r="D43" s="80">
        <f t="array" ref="D43">IFERROR(INDEX('02_DS_Nhan_Viec'!$D:$D,MATCH(38,'02_DS_Nhan_Viec'!$L:$L,0)),"")</f>
      </c>
      <c r="E43" s="80">
        <f t="array" ref="E43">IFERROR(INDEX('02_DS_Nhan_Viec'!$E:$E,MATCH(38,'02_DS_Nhan_Viec'!$L:$L,0)),"")</f>
      </c>
      <c r="F43" s="79">
        <f t="array" ref="F43">IFERROR(INDEX('02_DS_Nhan_Viec'!$F:$F,MATCH(38,'02_DS_Nhan_Viec'!$L:$L,0)),"")</f>
      </c>
      <c r="G43" s="79">
        <f t="array" ref="G43">IFERROR(INDEX('02_DS_Nhan_Viec'!$K:$K,MATCH(38,'02_DS_Nhan_Viec'!$L:$L,0)),"")</f>
      </c>
      <c r="H43" s="61">
        <f t="array" ref="H43">IF($B43="","",IF(IFERROR(INDEX('02_DS_Nhan_Viec'!$J:$J,MATCH($B43,'02_DS_Nhan_Viec'!$B:$B,0)),"")="","Đang theo dõi",IF(OR(IFERROR(INDEX('05_Theo_Doi_Gio_Cong_7_Ngay'!$R:$R,MATCH(IFERROR(INDEX('02_DS_Nhan_Viec'!$J:$J,MATCH($B43,'02_DS_Nhan_Viec'!$B:$B,0)),""),'05_Theo_Doi_Gio_Cong_7_Ngay'!$B:$B,0)),"")="",IFERROR(INDEX('05_Theo_Doi_Gio_Cong_7_Ngay'!$R:$R,MATCH(IFERROR(INDEX('02_DS_Nhan_Viec'!$J:$J,MATCH($B43,'02_DS_Nhan_Viec'!$B:$B,0)),""),'05_Theo_Doi_Gio_Cong_7_Ngay'!$B:$B,0)),0)=0),"Đang theo dõi",IFERROR(INDEX('06_DS_Chinh_Thuc'!$K:$K,MATCH(IFERROR(INDEX('05_Theo_Doi_Gio_Cong_7_Ngay'!$R:$R,MATCH(IFERROR(INDEX('02_DS_Nhan_Viec'!$J:$J,MATCH($B43,'02_DS_Nhan_Viec'!$B:$B,0)),""),'05_Theo_Doi_Gio_Cong_7_Ngay'!$B:$B,0)),0),'06_DS_Chinh_Thuc'!$B:$B,0)),"Đang theo dõi"))))</f>
      </c>
    </row>
    <row r="44" ht="14.25" customHeight="1" spans="1:8" x14ac:dyDescent="0.25">
      <c r="A44" s="78">
        <v>39</v>
      </c>
      <c r="B44" s="79">
        <f t="array" ref="B44">IFERROR(INDEX('02_DS_Nhan_Viec'!$B:$B,MATCH(39,'02_DS_Nhan_Viec'!$L:$L,0)),"")</f>
      </c>
      <c r="C44" s="79">
        <f t="array" ref="C44">IFERROR(INDEX('02_DS_Nhan_Viec'!$C:$C,MATCH(39,'02_DS_Nhan_Viec'!$L:$L,0)),"")</f>
      </c>
      <c r="D44" s="80">
        <f t="array" ref="D44">IFERROR(INDEX('02_DS_Nhan_Viec'!$D:$D,MATCH(39,'02_DS_Nhan_Viec'!$L:$L,0)),"")</f>
      </c>
      <c r="E44" s="80">
        <f t="array" ref="E44">IFERROR(INDEX('02_DS_Nhan_Viec'!$E:$E,MATCH(39,'02_DS_Nhan_Viec'!$L:$L,0)),"")</f>
      </c>
      <c r="F44" s="79">
        <f t="array" ref="F44">IFERROR(INDEX('02_DS_Nhan_Viec'!$F:$F,MATCH(39,'02_DS_Nhan_Viec'!$L:$L,0)),"")</f>
      </c>
      <c r="G44" s="79">
        <f t="array" ref="G44">IFERROR(INDEX('02_DS_Nhan_Viec'!$K:$K,MATCH(39,'02_DS_Nhan_Viec'!$L:$L,0)),"")</f>
      </c>
      <c r="H44" s="61">
        <f t="array" ref="H44">IF($B44="","",IF(IFERROR(INDEX('02_DS_Nhan_Viec'!$J:$J,MATCH($B44,'02_DS_Nhan_Viec'!$B:$B,0)),"")="","Đang theo dõi",IF(OR(IFERROR(INDEX('05_Theo_Doi_Gio_Cong_7_Ngay'!$R:$R,MATCH(IFERROR(INDEX('02_DS_Nhan_Viec'!$J:$J,MATCH($B44,'02_DS_Nhan_Viec'!$B:$B,0)),""),'05_Theo_Doi_Gio_Cong_7_Ngay'!$B:$B,0)),"")="",IFERROR(INDEX('05_Theo_Doi_Gio_Cong_7_Ngay'!$R:$R,MATCH(IFERROR(INDEX('02_DS_Nhan_Viec'!$J:$J,MATCH($B44,'02_DS_Nhan_Viec'!$B:$B,0)),""),'05_Theo_Doi_Gio_Cong_7_Ngay'!$B:$B,0)),0)=0),"Đang theo dõi",IFERROR(INDEX('06_DS_Chinh_Thuc'!$K:$K,MATCH(IFERROR(INDEX('05_Theo_Doi_Gio_Cong_7_Ngay'!$R:$R,MATCH(IFERROR(INDEX('02_DS_Nhan_Viec'!$J:$J,MATCH($B44,'02_DS_Nhan_Viec'!$B:$B,0)),""),'05_Theo_Doi_Gio_Cong_7_Ngay'!$B:$B,0)),0),'06_DS_Chinh_Thuc'!$B:$B,0)),"Đang theo dõi"))))</f>
      </c>
    </row>
    <row r="45" ht="14.25" customHeight="1" spans="1:8" x14ac:dyDescent="0.25">
      <c r="A45" s="78">
        <v>40</v>
      </c>
      <c r="B45" s="79">
        <f t="array" ref="B45">IFERROR(INDEX('02_DS_Nhan_Viec'!$B:$B,MATCH(40,'02_DS_Nhan_Viec'!$L:$L,0)),"")</f>
      </c>
      <c r="C45" s="79">
        <f t="array" ref="C45">IFERROR(INDEX('02_DS_Nhan_Viec'!$C:$C,MATCH(40,'02_DS_Nhan_Viec'!$L:$L,0)),"")</f>
      </c>
      <c r="D45" s="80">
        <f t="array" ref="D45">IFERROR(INDEX('02_DS_Nhan_Viec'!$D:$D,MATCH(40,'02_DS_Nhan_Viec'!$L:$L,0)),"")</f>
      </c>
      <c r="E45" s="80">
        <f t="array" ref="E45">IFERROR(INDEX('02_DS_Nhan_Viec'!$E:$E,MATCH(40,'02_DS_Nhan_Viec'!$L:$L,0)),"")</f>
      </c>
      <c r="F45" s="79">
        <f t="array" ref="F45">IFERROR(INDEX('02_DS_Nhan_Viec'!$F:$F,MATCH(40,'02_DS_Nhan_Viec'!$L:$L,0)),"")</f>
      </c>
      <c r="G45" s="79">
        <f t="array" ref="G45">IFERROR(INDEX('02_DS_Nhan_Viec'!$K:$K,MATCH(40,'02_DS_Nhan_Viec'!$L:$L,0)),"")</f>
      </c>
      <c r="H45" s="61">
        <f t="array" ref="H45">IF($B45="","",IF(IFERROR(INDEX('02_DS_Nhan_Viec'!$J:$J,MATCH($B45,'02_DS_Nhan_Viec'!$B:$B,0)),"")="","Đang theo dõi",IF(OR(IFERROR(INDEX('05_Theo_Doi_Gio_Cong_7_Ngay'!$R:$R,MATCH(IFERROR(INDEX('02_DS_Nhan_Viec'!$J:$J,MATCH($B45,'02_DS_Nhan_Viec'!$B:$B,0)),""),'05_Theo_Doi_Gio_Cong_7_Ngay'!$B:$B,0)),"")="",IFERROR(INDEX('05_Theo_Doi_Gio_Cong_7_Ngay'!$R:$R,MATCH(IFERROR(INDEX('02_DS_Nhan_Viec'!$J:$J,MATCH($B45,'02_DS_Nhan_Viec'!$B:$B,0)),""),'05_Theo_Doi_Gio_Cong_7_Ngay'!$B:$B,0)),0)=0),"Đang theo dõi",IFERROR(INDEX('06_DS_Chinh_Thuc'!$K:$K,MATCH(IFERROR(INDEX('05_Theo_Doi_Gio_Cong_7_Ngay'!$R:$R,MATCH(IFERROR(INDEX('02_DS_Nhan_Viec'!$J:$J,MATCH($B45,'02_DS_Nhan_Viec'!$B:$B,0)),""),'05_Theo_Doi_Gio_Cong_7_Ngay'!$B:$B,0)),0),'06_DS_Chinh_Thuc'!$B:$B,0)),"Đang theo dõi"))))</f>
      </c>
    </row>
    <row r="46" ht="14.25" customHeight="1" spans="1:8" x14ac:dyDescent="0.25">
      <c r="A46" s="78">
        <v>41</v>
      </c>
      <c r="B46" s="79">
        <f t="array" ref="B46">IFERROR(INDEX('02_DS_Nhan_Viec'!$B:$B,MATCH(41,'02_DS_Nhan_Viec'!$L:$L,0)),"")</f>
      </c>
      <c r="C46" s="79">
        <f t="array" ref="C46">IFERROR(INDEX('02_DS_Nhan_Viec'!$C:$C,MATCH(41,'02_DS_Nhan_Viec'!$L:$L,0)),"")</f>
      </c>
      <c r="D46" s="80">
        <f t="array" ref="D46">IFERROR(INDEX('02_DS_Nhan_Viec'!$D:$D,MATCH(41,'02_DS_Nhan_Viec'!$L:$L,0)),"")</f>
      </c>
      <c r="E46" s="80">
        <f t="array" ref="E46">IFERROR(INDEX('02_DS_Nhan_Viec'!$E:$E,MATCH(41,'02_DS_Nhan_Viec'!$L:$L,0)),"")</f>
      </c>
      <c r="F46" s="79">
        <f t="array" ref="F46">IFERROR(INDEX('02_DS_Nhan_Viec'!$F:$F,MATCH(41,'02_DS_Nhan_Viec'!$L:$L,0)),"")</f>
      </c>
      <c r="G46" s="79">
        <f t="array" ref="G46">IFERROR(INDEX('02_DS_Nhan_Viec'!$K:$K,MATCH(41,'02_DS_Nhan_Viec'!$L:$L,0)),"")</f>
      </c>
      <c r="H46" s="61">
        <f t="array" ref="H46">IF($B46="","",IF(IFERROR(INDEX('02_DS_Nhan_Viec'!$J:$J,MATCH($B46,'02_DS_Nhan_Viec'!$B:$B,0)),"")="","Đang theo dõi",IF(OR(IFERROR(INDEX('05_Theo_Doi_Gio_Cong_7_Ngay'!$R:$R,MATCH(IFERROR(INDEX('02_DS_Nhan_Viec'!$J:$J,MATCH($B46,'02_DS_Nhan_Viec'!$B:$B,0)),""),'05_Theo_Doi_Gio_Cong_7_Ngay'!$B:$B,0)),"")="",IFERROR(INDEX('05_Theo_Doi_Gio_Cong_7_Ngay'!$R:$R,MATCH(IFERROR(INDEX('02_DS_Nhan_Viec'!$J:$J,MATCH($B46,'02_DS_Nhan_Viec'!$B:$B,0)),""),'05_Theo_Doi_Gio_Cong_7_Ngay'!$B:$B,0)),0)=0),"Đang theo dõi",IFERROR(INDEX('06_DS_Chinh_Thuc'!$K:$K,MATCH(IFERROR(INDEX('05_Theo_Doi_Gio_Cong_7_Ngay'!$R:$R,MATCH(IFERROR(INDEX('02_DS_Nhan_Viec'!$J:$J,MATCH($B46,'02_DS_Nhan_Viec'!$B:$B,0)),""),'05_Theo_Doi_Gio_Cong_7_Ngay'!$B:$B,0)),0),'06_DS_Chinh_Thuc'!$B:$B,0)),"Đang theo dõi"))))</f>
      </c>
    </row>
    <row r="47" ht="14.25" customHeight="1" spans="1:8" x14ac:dyDescent="0.25">
      <c r="A47" s="78">
        <v>42</v>
      </c>
      <c r="B47" s="79">
        <f t="array" ref="B47">IFERROR(INDEX('02_DS_Nhan_Viec'!$B:$B,MATCH(42,'02_DS_Nhan_Viec'!$L:$L,0)),"")</f>
      </c>
      <c r="C47" s="79">
        <f t="array" ref="C47">IFERROR(INDEX('02_DS_Nhan_Viec'!$C:$C,MATCH(42,'02_DS_Nhan_Viec'!$L:$L,0)),"")</f>
      </c>
      <c r="D47" s="80">
        <f t="array" ref="D47">IFERROR(INDEX('02_DS_Nhan_Viec'!$D:$D,MATCH(42,'02_DS_Nhan_Viec'!$L:$L,0)),"")</f>
      </c>
      <c r="E47" s="80">
        <f t="array" ref="E47">IFERROR(INDEX('02_DS_Nhan_Viec'!$E:$E,MATCH(42,'02_DS_Nhan_Viec'!$L:$L,0)),"")</f>
      </c>
      <c r="F47" s="79">
        <f t="array" ref="F47">IFERROR(INDEX('02_DS_Nhan_Viec'!$F:$F,MATCH(42,'02_DS_Nhan_Viec'!$L:$L,0)),"")</f>
      </c>
      <c r="G47" s="79">
        <f t="array" ref="G47">IFERROR(INDEX('02_DS_Nhan_Viec'!$K:$K,MATCH(42,'02_DS_Nhan_Viec'!$L:$L,0)),"")</f>
      </c>
      <c r="H47" s="61">
        <f t="array" ref="H47">IF($B47="","",IF(IFERROR(INDEX('02_DS_Nhan_Viec'!$J:$J,MATCH($B47,'02_DS_Nhan_Viec'!$B:$B,0)),"")="","Đang theo dõi",IF(OR(IFERROR(INDEX('05_Theo_Doi_Gio_Cong_7_Ngay'!$R:$R,MATCH(IFERROR(INDEX('02_DS_Nhan_Viec'!$J:$J,MATCH($B47,'02_DS_Nhan_Viec'!$B:$B,0)),""),'05_Theo_Doi_Gio_Cong_7_Ngay'!$B:$B,0)),"")="",IFERROR(INDEX('05_Theo_Doi_Gio_Cong_7_Ngay'!$R:$R,MATCH(IFERROR(INDEX('02_DS_Nhan_Viec'!$J:$J,MATCH($B47,'02_DS_Nhan_Viec'!$B:$B,0)),""),'05_Theo_Doi_Gio_Cong_7_Ngay'!$B:$B,0)),0)=0),"Đang theo dõi",IFERROR(INDEX('06_DS_Chinh_Thuc'!$K:$K,MATCH(IFERROR(INDEX('05_Theo_Doi_Gio_Cong_7_Ngay'!$R:$R,MATCH(IFERROR(INDEX('02_DS_Nhan_Viec'!$J:$J,MATCH($B47,'02_DS_Nhan_Viec'!$B:$B,0)),""),'05_Theo_Doi_Gio_Cong_7_Ngay'!$B:$B,0)),0),'06_DS_Chinh_Thuc'!$B:$B,0)),"Đang theo dõi"))))</f>
      </c>
    </row>
    <row r="48" ht="14.25" customHeight="1" spans="1:8" x14ac:dyDescent="0.25">
      <c r="A48" s="78">
        <v>43</v>
      </c>
      <c r="B48" s="79">
        <f t="array" ref="B48">IFERROR(INDEX('02_DS_Nhan_Viec'!$B:$B,MATCH(43,'02_DS_Nhan_Viec'!$L:$L,0)),"")</f>
      </c>
      <c r="C48" s="79">
        <f t="array" ref="C48">IFERROR(INDEX('02_DS_Nhan_Viec'!$C:$C,MATCH(43,'02_DS_Nhan_Viec'!$L:$L,0)),"")</f>
      </c>
      <c r="D48" s="80">
        <f t="array" ref="D48">IFERROR(INDEX('02_DS_Nhan_Viec'!$D:$D,MATCH(43,'02_DS_Nhan_Viec'!$L:$L,0)),"")</f>
      </c>
      <c r="E48" s="80">
        <f t="array" ref="E48">IFERROR(INDEX('02_DS_Nhan_Viec'!$E:$E,MATCH(43,'02_DS_Nhan_Viec'!$L:$L,0)),"")</f>
      </c>
      <c r="F48" s="79">
        <f t="array" ref="F48">IFERROR(INDEX('02_DS_Nhan_Viec'!$F:$F,MATCH(43,'02_DS_Nhan_Viec'!$L:$L,0)),"")</f>
      </c>
      <c r="G48" s="79">
        <f t="array" ref="G48">IFERROR(INDEX('02_DS_Nhan_Viec'!$K:$K,MATCH(43,'02_DS_Nhan_Viec'!$L:$L,0)),"")</f>
      </c>
      <c r="H48" s="61">
        <f t="array" ref="H48">IF($B48="","",IF(IFERROR(INDEX('02_DS_Nhan_Viec'!$J:$J,MATCH($B48,'02_DS_Nhan_Viec'!$B:$B,0)),"")="","Đang theo dõi",IF(OR(IFERROR(INDEX('05_Theo_Doi_Gio_Cong_7_Ngay'!$R:$R,MATCH(IFERROR(INDEX('02_DS_Nhan_Viec'!$J:$J,MATCH($B48,'02_DS_Nhan_Viec'!$B:$B,0)),""),'05_Theo_Doi_Gio_Cong_7_Ngay'!$B:$B,0)),"")="",IFERROR(INDEX('05_Theo_Doi_Gio_Cong_7_Ngay'!$R:$R,MATCH(IFERROR(INDEX('02_DS_Nhan_Viec'!$J:$J,MATCH($B48,'02_DS_Nhan_Viec'!$B:$B,0)),""),'05_Theo_Doi_Gio_Cong_7_Ngay'!$B:$B,0)),0)=0),"Đang theo dõi",IFERROR(INDEX('06_DS_Chinh_Thuc'!$K:$K,MATCH(IFERROR(INDEX('05_Theo_Doi_Gio_Cong_7_Ngay'!$R:$R,MATCH(IFERROR(INDEX('02_DS_Nhan_Viec'!$J:$J,MATCH($B48,'02_DS_Nhan_Viec'!$B:$B,0)),""),'05_Theo_Doi_Gio_Cong_7_Ngay'!$B:$B,0)),0),'06_DS_Chinh_Thuc'!$B:$B,0)),"Đang theo dõi"))))</f>
      </c>
    </row>
    <row r="49" ht="14.25" customHeight="1" spans="1:8" x14ac:dyDescent="0.25">
      <c r="A49" s="78">
        <v>44</v>
      </c>
      <c r="B49" s="79">
        <f t="array" ref="B49">IFERROR(INDEX('02_DS_Nhan_Viec'!$B:$B,MATCH(44,'02_DS_Nhan_Viec'!$L:$L,0)),"")</f>
      </c>
      <c r="C49" s="79">
        <f t="array" ref="C49">IFERROR(INDEX('02_DS_Nhan_Viec'!$C:$C,MATCH(44,'02_DS_Nhan_Viec'!$L:$L,0)),"")</f>
      </c>
      <c r="D49" s="80">
        <f t="array" ref="D49">IFERROR(INDEX('02_DS_Nhan_Viec'!$D:$D,MATCH(44,'02_DS_Nhan_Viec'!$L:$L,0)),"")</f>
      </c>
      <c r="E49" s="80">
        <f t="array" ref="E49">IFERROR(INDEX('02_DS_Nhan_Viec'!$E:$E,MATCH(44,'02_DS_Nhan_Viec'!$L:$L,0)),"")</f>
      </c>
      <c r="F49" s="79">
        <f t="array" ref="F49">IFERROR(INDEX('02_DS_Nhan_Viec'!$F:$F,MATCH(44,'02_DS_Nhan_Viec'!$L:$L,0)),"")</f>
      </c>
      <c r="G49" s="79">
        <f t="array" ref="G49">IFERROR(INDEX('02_DS_Nhan_Viec'!$K:$K,MATCH(44,'02_DS_Nhan_Viec'!$L:$L,0)),"")</f>
      </c>
      <c r="H49" s="61">
        <f t="array" ref="H49">IF($B49="","",IF(IFERROR(INDEX('02_DS_Nhan_Viec'!$J:$J,MATCH($B49,'02_DS_Nhan_Viec'!$B:$B,0)),"")="","Đang theo dõi",IF(OR(IFERROR(INDEX('05_Theo_Doi_Gio_Cong_7_Ngay'!$R:$R,MATCH(IFERROR(INDEX('02_DS_Nhan_Viec'!$J:$J,MATCH($B49,'02_DS_Nhan_Viec'!$B:$B,0)),""),'05_Theo_Doi_Gio_Cong_7_Ngay'!$B:$B,0)),"")="",IFERROR(INDEX('05_Theo_Doi_Gio_Cong_7_Ngay'!$R:$R,MATCH(IFERROR(INDEX('02_DS_Nhan_Viec'!$J:$J,MATCH($B49,'02_DS_Nhan_Viec'!$B:$B,0)),""),'05_Theo_Doi_Gio_Cong_7_Ngay'!$B:$B,0)),0)=0),"Đang theo dõi",IFERROR(INDEX('06_DS_Chinh_Thuc'!$K:$K,MATCH(IFERROR(INDEX('05_Theo_Doi_Gio_Cong_7_Ngay'!$R:$R,MATCH(IFERROR(INDEX('02_DS_Nhan_Viec'!$J:$J,MATCH($B49,'02_DS_Nhan_Viec'!$B:$B,0)),""),'05_Theo_Doi_Gio_Cong_7_Ngay'!$B:$B,0)),0),'06_DS_Chinh_Thuc'!$B:$B,0)),"Đang theo dõi"))))</f>
      </c>
    </row>
    <row r="50" ht="14.25" customHeight="1" spans="1:8" x14ac:dyDescent="0.25">
      <c r="A50" s="78">
        <v>45</v>
      </c>
      <c r="B50" s="79">
        <f t="array" ref="B50">IFERROR(INDEX('02_DS_Nhan_Viec'!$B:$B,MATCH(45,'02_DS_Nhan_Viec'!$L:$L,0)),"")</f>
      </c>
      <c r="C50" s="79">
        <f t="array" ref="C50">IFERROR(INDEX('02_DS_Nhan_Viec'!$C:$C,MATCH(45,'02_DS_Nhan_Viec'!$L:$L,0)),"")</f>
      </c>
      <c r="D50" s="80">
        <f t="array" ref="D50">IFERROR(INDEX('02_DS_Nhan_Viec'!$D:$D,MATCH(45,'02_DS_Nhan_Viec'!$L:$L,0)),"")</f>
      </c>
      <c r="E50" s="80">
        <f t="array" ref="E50">IFERROR(INDEX('02_DS_Nhan_Viec'!$E:$E,MATCH(45,'02_DS_Nhan_Viec'!$L:$L,0)),"")</f>
      </c>
      <c r="F50" s="79">
        <f t="array" ref="F50">IFERROR(INDEX('02_DS_Nhan_Viec'!$F:$F,MATCH(45,'02_DS_Nhan_Viec'!$L:$L,0)),"")</f>
      </c>
      <c r="G50" s="79">
        <f t="array" ref="G50">IFERROR(INDEX('02_DS_Nhan_Viec'!$K:$K,MATCH(45,'02_DS_Nhan_Viec'!$L:$L,0)),"")</f>
      </c>
      <c r="H50" s="61">
        <f t="array" ref="H50">IF($B50="","",IF(IFERROR(INDEX('02_DS_Nhan_Viec'!$J:$J,MATCH($B50,'02_DS_Nhan_Viec'!$B:$B,0)),"")="","Đang theo dõi",IF(OR(IFERROR(INDEX('05_Theo_Doi_Gio_Cong_7_Ngay'!$R:$R,MATCH(IFERROR(INDEX('02_DS_Nhan_Viec'!$J:$J,MATCH($B50,'02_DS_Nhan_Viec'!$B:$B,0)),""),'05_Theo_Doi_Gio_Cong_7_Ngay'!$B:$B,0)),"")="",IFERROR(INDEX('05_Theo_Doi_Gio_Cong_7_Ngay'!$R:$R,MATCH(IFERROR(INDEX('02_DS_Nhan_Viec'!$J:$J,MATCH($B50,'02_DS_Nhan_Viec'!$B:$B,0)),""),'05_Theo_Doi_Gio_Cong_7_Ngay'!$B:$B,0)),0)=0),"Đang theo dõi",IFERROR(INDEX('06_DS_Chinh_Thuc'!$K:$K,MATCH(IFERROR(INDEX('05_Theo_Doi_Gio_Cong_7_Ngay'!$R:$R,MATCH(IFERROR(INDEX('02_DS_Nhan_Viec'!$J:$J,MATCH($B50,'02_DS_Nhan_Viec'!$B:$B,0)),""),'05_Theo_Doi_Gio_Cong_7_Ngay'!$B:$B,0)),0),'06_DS_Chinh_Thuc'!$B:$B,0)),"Đang theo dõi"))))</f>
      </c>
    </row>
    <row r="51" ht="14.25" customHeight="1" spans="1:8" x14ac:dyDescent="0.25">
      <c r="A51" s="78">
        <v>46</v>
      </c>
      <c r="B51" s="79">
        <f t="array" ref="B51">IFERROR(INDEX('02_DS_Nhan_Viec'!$B:$B,MATCH(46,'02_DS_Nhan_Viec'!$L:$L,0)),"")</f>
      </c>
      <c r="C51" s="79">
        <f t="array" ref="C51">IFERROR(INDEX('02_DS_Nhan_Viec'!$C:$C,MATCH(46,'02_DS_Nhan_Viec'!$L:$L,0)),"")</f>
      </c>
      <c r="D51" s="80">
        <f t="array" ref="D51">IFERROR(INDEX('02_DS_Nhan_Viec'!$D:$D,MATCH(46,'02_DS_Nhan_Viec'!$L:$L,0)),"")</f>
      </c>
      <c r="E51" s="80">
        <f t="array" ref="E51">IFERROR(INDEX('02_DS_Nhan_Viec'!$E:$E,MATCH(46,'02_DS_Nhan_Viec'!$L:$L,0)),"")</f>
      </c>
      <c r="F51" s="79">
        <f t="array" ref="F51">IFERROR(INDEX('02_DS_Nhan_Viec'!$F:$F,MATCH(46,'02_DS_Nhan_Viec'!$L:$L,0)),"")</f>
      </c>
      <c r="G51" s="79">
        <f t="array" ref="G51">IFERROR(INDEX('02_DS_Nhan_Viec'!$K:$K,MATCH(46,'02_DS_Nhan_Viec'!$L:$L,0)),"")</f>
      </c>
      <c r="H51" s="61">
        <f t="array" ref="H51">IF($B51="","",IF(IFERROR(INDEX('02_DS_Nhan_Viec'!$J:$J,MATCH($B51,'02_DS_Nhan_Viec'!$B:$B,0)),"")="","Đang theo dõi",IF(OR(IFERROR(INDEX('05_Theo_Doi_Gio_Cong_7_Ngay'!$R:$R,MATCH(IFERROR(INDEX('02_DS_Nhan_Viec'!$J:$J,MATCH($B51,'02_DS_Nhan_Viec'!$B:$B,0)),""),'05_Theo_Doi_Gio_Cong_7_Ngay'!$B:$B,0)),"")="",IFERROR(INDEX('05_Theo_Doi_Gio_Cong_7_Ngay'!$R:$R,MATCH(IFERROR(INDEX('02_DS_Nhan_Viec'!$J:$J,MATCH($B51,'02_DS_Nhan_Viec'!$B:$B,0)),""),'05_Theo_Doi_Gio_Cong_7_Ngay'!$B:$B,0)),0)=0),"Đang theo dõi",IFERROR(INDEX('06_DS_Chinh_Thuc'!$K:$K,MATCH(IFERROR(INDEX('05_Theo_Doi_Gio_Cong_7_Ngay'!$R:$R,MATCH(IFERROR(INDEX('02_DS_Nhan_Viec'!$J:$J,MATCH($B51,'02_DS_Nhan_Viec'!$B:$B,0)),""),'05_Theo_Doi_Gio_Cong_7_Ngay'!$B:$B,0)),0),'06_DS_Chinh_Thuc'!$B:$B,0)),"Đang theo dõi"))))</f>
      </c>
    </row>
    <row r="52" ht="14.25" customHeight="1" spans="1:8" x14ac:dyDescent="0.25">
      <c r="A52" s="78">
        <v>47</v>
      </c>
      <c r="B52" s="79">
        <f t="array" ref="B52">IFERROR(INDEX('02_DS_Nhan_Viec'!$B:$B,MATCH(47,'02_DS_Nhan_Viec'!$L:$L,0)),"")</f>
      </c>
      <c r="C52" s="79">
        <f t="array" ref="C52">IFERROR(INDEX('02_DS_Nhan_Viec'!$C:$C,MATCH(47,'02_DS_Nhan_Viec'!$L:$L,0)),"")</f>
      </c>
      <c r="D52" s="80">
        <f t="array" ref="D52">IFERROR(INDEX('02_DS_Nhan_Viec'!$D:$D,MATCH(47,'02_DS_Nhan_Viec'!$L:$L,0)),"")</f>
      </c>
      <c r="E52" s="80">
        <f t="array" ref="E52">IFERROR(INDEX('02_DS_Nhan_Viec'!$E:$E,MATCH(47,'02_DS_Nhan_Viec'!$L:$L,0)),"")</f>
      </c>
      <c r="F52" s="79">
        <f t="array" ref="F52">IFERROR(INDEX('02_DS_Nhan_Viec'!$F:$F,MATCH(47,'02_DS_Nhan_Viec'!$L:$L,0)),"")</f>
      </c>
      <c r="G52" s="79">
        <f t="array" ref="G52">IFERROR(INDEX('02_DS_Nhan_Viec'!$K:$K,MATCH(47,'02_DS_Nhan_Viec'!$L:$L,0)),"")</f>
      </c>
      <c r="H52" s="61">
        <f t="array" ref="H52">IF($B52="","",IF(IFERROR(INDEX('02_DS_Nhan_Viec'!$J:$J,MATCH($B52,'02_DS_Nhan_Viec'!$B:$B,0)),"")="","Đang theo dõi",IF(OR(IFERROR(INDEX('05_Theo_Doi_Gio_Cong_7_Ngay'!$R:$R,MATCH(IFERROR(INDEX('02_DS_Nhan_Viec'!$J:$J,MATCH($B52,'02_DS_Nhan_Viec'!$B:$B,0)),""),'05_Theo_Doi_Gio_Cong_7_Ngay'!$B:$B,0)),"")="",IFERROR(INDEX('05_Theo_Doi_Gio_Cong_7_Ngay'!$R:$R,MATCH(IFERROR(INDEX('02_DS_Nhan_Viec'!$J:$J,MATCH($B52,'02_DS_Nhan_Viec'!$B:$B,0)),""),'05_Theo_Doi_Gio_Cong_7_Ngay'!$B:$B,0)),0)=0),"Đang theo dõi",IFERROR(INDEX('06_DS_Chinh_Thuc'!$K:$K,MATCH(IFERROR(INDEX('05_Theo_Doi_Gio_Cong_7_Ngay'!$R:$R,MATCH(IFERROR(INDEX('02_DS_Nhan_Viec'!$J:$J,MATCH($B52,'02_DS_Nhan_Viec'!$B:$B,0)),""),'05_Theo_Doi_Gio_Cong_7_Ngay'!$B:$B,0)),0),'06_DS_Chinh_Thuc'!$B:$B,0)),"Đang theo dõi"))))</f>
      </c>
    </row>
    <row r="53" ht="14.25" customHeight="1" spans="1:8" x14ac:dyDescent="0.25">
      <c r="A53" s="78">
        <v>48</v>
      </c>
      <c r="B53" s="79">
        <f t="array" ref="B53">IFERROR(INDEX('02_DS_Nhan_Viec'!$B:$B,MATCH(48,'02_DS_Nhan_Viec'!$L:$L,0)),"")</f>
      </c>
      <c r="C53" s="79">
        <f t="array" ref="C53">IFERROR(INDEX('02_DS_Nhan_Viec'!$C:$C,MATCH(48,'02_DS_Nhan_Viec'!$L:$L,0)),"")</f>
      </c>
      <c r="D53" s="80">
        <f t="array" ref="D53">IFERROR(INDEX('02_DS_Nhan_Viec'!$D:$D,MATCH(48,'02_DS_Nhan_Viec'!$L:$L,0)),"")</f>
      </c>
      <c r="E53" s="80">
        <f t="array" ref="E53">IFERROR(INDEX('02_DS_Nhan_Viec'!$E:$E,MATCH(48,'02_DS_Nhan_Viec'!$L:$L,0)),"")</f>
      </c>
      <c r="F53" s="79">
        <f t="array" ref="F53">IFERROR(INDEX('02_DS_Nhan_Viec'!$F:$F,MATCH(48,'02_DS_Nhan_Viec'!$L:$L,0)),"")</f>
      </c>
      <c r="G53" s="79">
        <f t="array" ref="G53">IFERROR(INDEX('02_DS_Nhan_Viec'!$K:$K,MATCH(48,'02_DS_Nhan_Viec'!$L:$L,0)),"")</f>
      </c>
      <c r="H53" s="61">
        <f t="array" ref="H53">IF($B53="","",IF(IFERROR(INDEX('02_DS_Nhan_Viec'!$J:$J,MATCH($B53,'02_DS_Nhan_Viec'!$B:$B,0)),"")="","Đang theo dõi",IF(OR(IFERROR(INDEX('05_Theo_Doi_Gio_Cong_7_Ngay'!$R:$R,MATCH(IFERROR(INDEX('02_DS_Nhan_Viec'!$J:$J,MATCH($B53,'02_DS_Nhan_Viec'!$B:$B,0)),""),'05_Theo_Doi_Gio_Cong_7_Ngay'!$B:$B,0)),"")="",IFERROR(INDEX('05_Theo_Doi_Gio_Cong_7_Ngay'!$R:$R,MATCH(IFERROR(INDEX('02_DS_Nhan_Viec'!$J:$J,MATCH($B53,'02_DS_Nhan_Viec'!$B:$B,0)),""),'05_Theo_Doi_Gio_Cong_7_Ngay'!$B:$B,0)),0)=0),"Đang theo dõi",IFERROR(INDEX('06_DS_Chinh_Thuc'!$K:$K,MATCH(IFERROR(INDEX('05_Theo_Doi_Gio_Cong_7_Ngay'!$R:$R,MATCH(IFERROR(INDEX('02_DS_Nhan_Viec'!$J:$J,MATCH($B53,'02_DS_Nhan_Viec'!$B:$B,0)),""),'05_Theo_Doi_Gio_Cong_7_Ngay'!$B:$B,0)),0),'06_DS_Chinh_Thuc'!$B:$B,0)),"Đang theo dõi"))))</f>
      </c>
    </row>
    <row r="54" ht="14.25" customHeight="1" spans="1:8" x14ac:dyDescent="0.25">
      <c r="A54" s="78">
        <v>49</v>
      </c>
      <c r="B54" s="79">
        <f t="array" ref="B54">IFERROR(INDEX('02_DS_Nhan_Viec'!$B:$B,MATCH(49,'02_DS_Nhan_Viec'!$L:$L,0)),"")</f>
      </c>
      <c r="C54" s="79">
        <f t="array" ref="C54">IFERROR(INDEX('02_DS_Nhan_Viec'!$C:$C,MATCH(49,'02_DS_Nhan_Viec'!$L:$L,0)),"")</f>
      </c>
      <c r="D54" s="80">
        <f t="array" ref="D54">IFERROR(INDEX('02_DS_Nhan_Viec'!$D:$D,MATCH(49,'02_DS_Nhan_Viec'!$L:$L,0)),"")</f>
      </c>
      <c r="E54" s="80">
        <f t="array" ref="E54">IFERROR(INDEX('02_DS_Nhan_Viec'!$E:$E,MATCH(49,'02_DS_Nhan_Viec'!$L:$L,0)),"")</f>
      </c>
      <c r="F54" s="79">
        <f t="array" ref="F54">IFERROR(INDEX('02_DS_Nhan_Viec'!$F:$F,MATCH(49,'02_DS_Nhan_Viec'!$L:$L,0)),"")</f>
      </c>
      <c r="G54" s="79">
        <f t="array" ref="G54">IFERROR(INDEX('02_DS_Nhan_Viec'!$K:$K,MATCH(49,'02_DS_Nhan_Viec'!$L:$L,0)),"")</f>
      </c>
      <c r="H54" s="61">
        <f t="array" ref="H54">IF($B54="","",IF(IFERROR(INDEX('02_DS_Nhan_Viec'!$J:$J,MATCH($B54,'02_DS_Nhan_Viec'!$B:$B,0)),"")="","Đang theo dõi",IF(OR(IFERROR(INDEX('05_Theo_Doi_Gio_Cong_7_Ngay'!$R:$R,MATCH(IFERROR(INDEX('02_DS_Nhan_Viec'!$J:$J,MATCH($B54,'02_DS_Nhan_Viec'!$B:$B,0)),""),'05_Theo_Doi_Gio_Cong_7_Ngay'!$B:$B,0)),"")="",IFERROR(INDEX('05_Theo_Doi_Gio_Cong_7_Ngay'!$R:$R,MATCH(IFERROR(INDEX('02_DS_Nhan_Viec'!$J:$J,MATCH($B54,'02_DS_Nhan_Viec'!$B:$B,0)),""),'05_Theo_Doi_Gio_Cong_7_Ngay'!$B:$B,0)),0)=0),"Đang theo dõi",IFERROR(INDEX('06_DS_Chinh_Thuc'!$K:$K,MATCH(IFERROR(INDEX('05_Theo_Doi_Gio_Cong_7_Ngay'!$R:$R,MATCH(IFERROR(INDEX('02_DS_Nhan_Viec'!$J:$J,MATCH($B54,'02_DS_Nhan_Viec'!$B:$B,0)),""),'05_Theo_Doi_Gio_Cong_7_Ngay'!$B:$B,0)),0),'06_DS_Chinh_Thuc'!$B:$B,0)),"Đang theo dõi"))))</f>
      </c>
    </row>
    <row r="55" ht="14.25" customHeight="1" spans="1:8" x14ac:dyDescent="0.25">
      <c r="A55" s="78">
        <v>50</v>
      </c>
      <c r="B55" s="79">
        <f t="array" ref="B55">IFERROR(INDEX('02_DS_Nhan_Viec'!$B:$B,MATCH(50,'02_DS_Nhan_Viec'!$L:$L,0)),"")</f>
      </c>
      <c r="C55" s="79">
        <f t="array" ref="C55">IFERROR(INDEX('02_DS_Nhan_Viec'!$C:$C,MATCH(50,'02_DS_Nhan_Viec'!$L:$L,0)),"")</f>
      </c>
      <c r="D55" s="80">
        <f t="array" ref="D55">IFERROR(INDEX('02_DS_Nhan_Viec'!$D:$D,MATCH(50,'02_DS_Nhan_Viec'!$L:$L,0)),"")</f>
      </c>
      <c r="E55" s="80">
        <f t="array" ref="E55">IFERROR(INDEX('02_DS_Nhan_Viec'!$E:$E,MATCH(50,'02_DS_Nhan_Viec'!$L:$L,0)),"")</f>
      </c>
      <c r="F55" s="79">
        <f t="array" ref="F55">IFERROR(INDEX('02_DS_Nhan_Viec'!$F:$F,MATCH(50,'02_DS_Nhan_Viec'!$L:$L,0)),"")</f>
      </c>
      <c r="G55" s="79">
        <f t="array" ref="G55">IFERROR(INDEX('02_DS_Nhan_Viec'!$K:$K,MATCH(50,'02_DS_Nhan_Viec'!$L:$L,0)),"")</f>
      </c>
      <c r="H55" s="61">
        <f t="array" ref="H55">IF($B55="","",IF(IFERROR(INDEX('02_DS_Nhan_Viec'!$J:$J,MATCH($B55,'02_DS_Nhan_Viec'!$B:$B,0)),"")="","Đang theo dõi",IF(OR(IFERROR(INDEX('05_Theo_Doi_Gio_Cong_7_Ngay'!$R:$R,MATCH(IFERROR(INDEX('02_DS_Nhan_Viec'!$J:$J,MATCH($B55,'02_DS_Nhan_Viec'!$B:$B,0)),""),'05_Theo_Doi_Gio_Cong_7_Ngay'!$B:$B,0)),"")="",IFERROR(INDEX('05_Theo_Doi_Gio_Cong_7_Ngay'!$R:$R,MATCH(IFERROR(INDEX('02_DS_Nhan_Viec'!$J:$J,MATCH($B55,'02_DS_Nhan_Viec'!$B:$B,0)),""),'05_Theo_Doi_Gio_Cong_7_Ngay'!$B:$B,0)),0)=0),"Đang theo dõi",IFERROR(INDEX('06_DS_Chinh_Thuc'!$K:$K,MATCH(IFERROR(INDEX('05_Theo_Doi_Gio_Cong_7_Ngay'!$R:$R,MATCH(IFERROR(INDEX('02_DS_Nhan_Viec'!$J:$J,MATCH($B55,'02_DS_Nhan_Viec'!$B:$B,0)),""),'05_Theo_Doi_Gio_Cong_7_Ngay'!$B:$B,0)),0),'06_DS_Chinh_Thuc'!$B:$B,0)),"Đang theo dõi"))))</f>
      </c>
    </row>
    <row r="56" ht="14.25" customHeight="1" spans="1:8" x14ac:dyDescent="0.25">
      <c r="A56" s="78">
        <v>51</v>
      </c>
      <c r="B56" s="79">
        <f t="array" ref="B56">IFERROR(INDEX('02_DS_Nhan_Viec'!$B:$B,MATCH(51,'02_DS_Nhan_Viec'!$L:$L,0)),"")</f>
      </c>
      <c r="C56" s="79">
        <f t="array" ref="C56">IFERROR(INDEX('02_DS_Nhan_Viec'!$C:$C,MATCH(51,'02_DS_Nhan_Viec'!$L:$L,0)),"")</f>
      </c>
      <c r="D56" s="80">
        <f t="array" ref="D56">IFERROR(INDEX('02_DS_Nhan_Viec'!$D:$D,MATCH(51,'02_DS_Nhan_Viec'!$L:$L,0)),"")</f>
      </c>
      <c r="E56" s="80">
        <f t="array" ref="E56">IFERROR(INDEX('02_DS_Nhan_Viec'!$E:$E,MATCH(51,'02_DS_Nhan_Viec'!$L:$L,0)),"")</f>
      </c>
      <c r="F56" s="79">
        <f t="array" ref="F56">IFERROR(INDEX('02_DS_Nhan_Viec'!$F:$F,MATCH(51,'02_DS_Nhan_Viec'!$L:$L,0)),"")</f>
      </c>
      <c r="G56" s="79">
        <f t="array" ref="G56">IFERROR(INDEX('02_DS_Nhan_Viec'!$K:$K,MATCH(51,'02_DS_Nhan_Viec'!$L:$L,0)),"")</f>
      </c>
      <c r="H56" s="61">
        <f t="array" ref="H56">IF($B56="","",IF(IFERROR(INDEX('02_DS_Nhan_Viec'!$J:$J,MATCH($B56,'02_DS_Nhan_Viec'!$B:$B,0)),"")="","Đang theo dõi",IF(OR(IFERROR(INDEX('05_Theo_Doi_Gio_Cong_7_Ngay'!$R:$R,MATCH(IFERROR(INDEX('02_DS_Nhan_Viec'!$J:$J,MATCH($B56,'02_DS_Nhan_Viec'!$B:$B,0)),""),'05_Theo_Doi_Gio_Cong_7_Ngay'!$B:$B,0)),"")="",IFERROR(INDEX('05_Theo_Doi_Gio_Cong_7_Ngay'!$R:$R,MATCH(IFERROR(INDEX('02_DS_Nhan_Viec'!$J:$J,MATCH($B56,'02_DS_Nhan_Viec'!$B:$B,0)),""),'05_Theo_Doi_Gio_Cong_7_Ngay'!$B:$B,0)),0)=0),"Đang theo dõi",IFERROR(INDEX('06_DS_Chinh_Thuc'!$K:$K,MATCH(IFERROR(INDEX('05_Theo_Doi_Gio_Cong_7_Ngay'!$R:$R,MATCH(IFERROR(INDEX('02_DS_Nhan_Viec'!$J:$J,MATCH($B56,'02_DS_Nhan_Viec'!$B:$B,0)),""),'05_Theo_Doi_Gio_Cong_7_Ngay'!$B:$B,0)),0),'06_DS_Chinh_Thuc'!$B:$B,0)),"Đang theo dõi"))))</f>
      </c>
    </row>
    <row r="57" ht="14.25" customHeight="1" spans="1:8" x14ac:dyDescent="0.25">
      <c r="A57" s="78">
        <v>52</v>
      </c>
      <c r="B57" s="79">
        <f t="array" ref="B57">IFERROR(INDEX('02_DS_Nhan_Viec'!$B:$B,MATCH(52,'02_DS_Nhan_Viec'!$L:$L,0)),"")</f>
      </c>
      <c r="C57" s="79">
        <f t="array" ref="C57">IFERROR(INDEX('02_DS_Nhan_Viec'!$C:$C,MATCH(52,'02_DS_Nhan_Viec'!$L:$L,0)),"")</f>
      </c>
      <c r="D57" s="80">
        <f t="array" ref="D57">IFERROR(INDEX('02_DS_Nhan_Viec'!$D:$D,MATCH(52,'02_DS_Nhan_Viec'!$L:$L,0)),"")</f>
      </c>
      <c r="E57" s="80">
        <f t="array" ref="E57">IFERROR(INDEX('02_DS_Nhan_Viec'!$E:$E,MATCH(52,'02_DS_Nhan_Viec'!$L:$L,0)),"")</f>
      </c>
      <c r="F57" s="79">
        <f t="array" ref="F57">IFERROR(INDEX('02_DS_Nhan_Viec'!$F:$F,MATCH(52,'02_DS_Nhan_Viec'!$L:$L,0)),"")</f>
      </c>
      <c r="G57" s="79">
        <f t="array" ref="G57">IFERROR(INDEX('02_DS_Nhan_Viec'!$K:$K,MATCH(52,'02_DS_Nhan_Viec'!$L:$L,0)),"")</f>
      </c>
      <c r="H57" s="61">
        <f t="array" ref="H57">IF($B57="","",IF(IFERROR(INDEX('02_DS_Nhan_Viec'!$J:$J,MATCH($B57,'02_DS_Nhan_Viec'!$B:$B,0)),"")="","Đang theo dõi",IF(OR(IFERROR(INDEX('05_Theo_Doi_Gio_Cong_7_Ngay'!$R:$R,MATCH(IFERROR(INDEX('02_DS_Nhan_Viec'!$J:$J,MATCH($B57,'02_DS_Nhan_Viec'!$B:$B,0)),""),'05_Theo_Doi_Gio_Cong_7_Ngay'!$B:$B,0)),"")="",IFERROR(INDEX('05_Theo_Doi_Gio_Cong_7_Ngay'!$R:$R,MATCH(IFERROR(INDEX('02_DS_Nhan_Viec'!$J:$J,MATCH($B57,'02_DS_Nhan_Viec'!$B:$B,0)),""),'05_Theo_Doi_Gio_Cong_7_Ngay'!$B:$B,0)),0)=0),"Đang theo dõi",IFERROR(INDEX('06_DS_Chinh_Thuc'!$K:$K,MATCH(IFERROR(INDEX('05_Theo_Doi_Gio_Cong_7_Ngay'!$R:$R,MATCH(IFERROR(INDEX('02_DS_Nhan_Viec'!$J:$J,MATCH($B57,'02_DS_Nhan_Viec'!$B:$B,0)),""),'05_Theo_Doi_Gio_Cong_7_Ngay'!$B:$B,0)),0),'06_DS_Chinh_Thuc'!$B:$B,0)),"Đang theo dõi"))))</f>
      </c>
    </row>
    <row r="58" ht="14.25" customHeight="1" spans="1:8" x14ac:dyDescent="0.25">
      <c r="A58" s="78">
        <v>53</v>
      </c>
      <c r="B58" s="79">
        <f t="array" ref="B58">IFERROR(INDEX('02_DS_Nhan_Viec'!$B:$B,MATCH(53,'02_DS_Nhan_Viec'!$L:$L,0)),"")</f>
      </c>
      <c r="C58" s="79">
        <f t="array" ref="C58">IFERROR(INDEX('02_DS_Nhan_Viec'!$C:$C,MATCH(53,'02_DS_Nhan_Viec'!$L:$L,0)),"")</f>
      </c>
      <c r="D58" s="80">
        <f t="array" ref="D58">IFERROR(INDEX('02_DS_Nhan_Viec'!$D:$D,MATCH(53,'02_DS_Nhan_Viec'!$L:$L,0)),"")</f>
      </c>
      <c r="E58" s="80">
        <f t="array" ref="E58">IFERROR(INDEX('02_DS_Nhan_Viec'!$E:$E,MATCH(53,'02_DS_Nhan_Viec'!$L:$L,0)),"")</f>
      </c>
      <c r="F58" s="79">
        <f t="array" ref="F58">IFERROR(INDEX('02_DS_Nhan_Viec'!$F:$F,MATCH(53,'02_DS_Nhan_Viec'!$L:$L,0)),"")</f>
      </c>
      <c r="G58" s="79">
        <f t="array" ref="G58">IFERROR(INDEX('02_DS_Nhan_Viec'!$K:$K,MATCH(53,'02_DS_Nhan_Viec'!$L:$L,0)),"")</f>
      </c>
      <c r="H58" s="61">
        <f t="array" ref="H58">IF($B58="","",IF(IFERROR(INDEX('02_DS_Nhan_Viec'!$J:$J,MATCH($B58,'02_DS_Nhan_Viec'!$B:$B,0)),"")="","Đang theo dõi",IF(OR(IFERROR(INDEX('05_Theo_Doi_Gio_Cong_7_Ngay'!$R:$R,MATCH(IFERROR(INDEX('02_DS_Nhan_Viec'!$J:$J,MATCH($B58,'02_DS_Nhan_Viec'!$B:$B,0)),""),'05_Theo_Doi_Gio_Cong_7_Ngay'!$B:$B,0)),"")="",IFERROR(INDEX('05_Theo_Doi_Gio_Cong_7_Ngay'!$R:$R,MATCH(IFERROR(INDEX('02_DS_Nhan_Viec'!$J:$J,MATCH($B58,'02_DS_Nhan_Viec'!$B:$B,0)),""),'05_Theo_Doi_Gio_Cong_7_Ngay'!$B:$B,0)),0)=0),"Đang theo dõi",IFERROR(INDEX('06_DS_Chinh_Thuc'!$K:$K,MATCH(IFERROR(INDEX('05_Theo_Doi_Gio_Cong_7_Ngay'!$R:$R,MATCH(IFERROR(INDEX('02_DS_Nhan_Viec'!$J:$J,MATCH($B58,'02_DS_Nhan_Viec'!$B:$B,0)),""),'05_Theo_Doi_Gio_Cong_7_Ngay'!$B:$B,0)),0),'06_DS_Chinh_Thuc'!$B:$B,0)),"Đang theo dõi"))))</f>
      </c>
    </row>
    <row r="59" ht="14.25" customHeight="1" spans="1:8" x14ac:dyDescent="0.25">
      <c r="A59" s="78">
        <v>54</v>
      </c>
      <c r="B59" s="79">
        <f t="array" ref="B59">IFERROR(INDEX('02_DS_Nhan_Viec'!$B:$B,MATCH(54,'02_DS_Nhan_Viec'!$L:$L,0)),"")</f>
      </c>
      <c r="C59" s="79">
        <f t="array" ref="C59">IFERROR(INDEX('02_DS_Nhan_Viec'!$C:$C,MATCH(54,'02_DS_Nhan_Viec'!$L:$L,0)),"")</f>
      </c>
      <c r="D59" s="80">
        <f t="array" ref="D59">IFERROR(INDEX('02_DS_Nhan_Viec'!$D:$D,MATCH(54,'02_DS_Nhan_Viec'!$L:$L,0)),"")</f>
      </c>
      <c r="E59" s="80">
        <f t="array" ref="E59">IFERROR(INDEX('02_DS_Nhan_Viec'!$E:$E,MATCH(54,'02_DS_Nhan_Viec'!$L:$L,0)),"")</f>
      </c>
      <c r="F59" s="79">
        <f t="array" ref="F59">IFERROR(INDEX('02_DS_Nhan_Viec'!$F:$F,MATCH(54,'02_DS_Nhan_Viec'!$L:$L,0)),"")</f>
      </c>
      <c r="G59" s="79">
        <f t="array" ref="G59">IFERROR(INDEX('02_DS_Nhan_Viec'!$K:$K,MATCH(54,'02_DS_Nhan_Viec'!$L:$L,0)),"")</f>
      </c>
      <c r="H59" s="61">
        <f t="array" ref="H59">IF($B59="","",IF(IFERROR(INDEX('02_DS_Nhan_Viec'!$J:$J,MATCH($B59,'02_DS_Nhan_Viec'!$B:$B,0)),"")="","Đang theo dõi",IF(OR(IFERROR(INDEX('05_Theo_Doi_Gio_Cong_7_Ngay'!$R:$R,MATCH(IFERROR(INDEX('02_DS_Nhan_Viec'!$J:$J,MATCH($B59,'02_DS_Nhan_Viec'!$B:$B,0)),""),'05_Theo_Doi_Gio_Cong_7_Ngay'!$B:$B,0)),"")="",IFERROR(INDEX('05_Theo_Doi_Gio_Cong_7_Ngay'!$R:$R,MATCH(IFERROR(INDEX('02_DS_Nhan_Viec'!$J:$J,MATCH($B59,'02_DS_Nhan_Viec'!$B:$B,0)),""),'05_Theo_Doi_Gio_Cong_7_Ngay'!$B:$B,0)),0)=0),"Đang theo dõi",IFERROR(INDEX('06_DS_Chinh_Thuc'!$K:$K,MATCH(IFERROR(INDEX('05_Theo_Doi_Gio_Cong_7_Ngay'!$R:$R,MATCH(IFERROR(INDEX('02_DS_Nhan_Viec'!$J:$J,MATCH($B59,'02_DS_Nhan_Viec'!$B:$B,0)),""),'05_Theo_Doi_Gio_Cong_7_Ngay'!$B:$B,0)),0),'06_DS_Chinh_Thuc'!$B:$B,0)),"Đang theo dõi"))))</f>
      </c>
    </row>
    <row r="60" ht="14.25" customHeight="1" spans="1:8" x14ac:dyDescent="0.25">
      <c r="A60" s="78">
        <v>55</v>
      </c>
      <c r="B60" s="79">
        <f t="array" ref="B60">IFERROR(INDEX('02_DS_Nhan_Viec'!$B:$B,MATCH(55,'02_DS_Nhan_Viec'!$L:$L,0)),"")</f>
      </c>
      <c r="C60" s="79">
        <f t="array" ref="C60">IFERROR(INDEX('02_DS_Nhan_Viec'!$C:$C,MATCH(55,'02_DS_Nhan_Viec'!$L:$L,0)),"")</f>
      </c>
      <c r="D60" s="80">
        <f t="array" ref="D60">IFERROR(INDEX('02_DS_Nhan_Viec'!$D:$D,MATCH(55,'02_DS_Nhan_Viec'!$L:$L,0)),"")</f>
      </c>
      <c r="E60" s="80">
        <f t="array" ref="E60">IFERROR(INDEX('02_DS_Nhan_Viec'!$E:$E,MATCH(55,'02_DS_Nhan_Viec'!$L:$L,0)),"")</f>
      </c>
      <c r="F60" s="79">
        <f t="array" ref="F60">IFERROR(INDEX('02_DS_Nhan_Viec'!$F:$F,MATCH(55,'02_DS_Nhan_Viec'!$L:$L,0)),"")</f>
      </c>
      <c r="G60" s="79">
        <f t="array" ref="G60">IFERROR(INDEX('02_DS_Nhan_Viec'!$K:$K,MATCH(55,'02_DS_Nhan_Viec'!$L:$L,0)),"")</f>
      </c>
      <c r="H60" s="61">
        <f t="array" ref="H60">IF($B60="","",IF(IFERROR(INDEX('02_DS_Nhan_Viec'!$J:$J,MATCH($B60,'02_DS_Nhan_Viec'!$B:$B,0)),"")="","Đang theo dõi",IF(OR(IFERROR(INDEX('05_Theo_Doi_Gio_Cong_7_Ngay'!$R:$R,MATCH(IFERROR(INDEX('02_DS_Nhan_Viec'!$J:$J,MATCH($B60,'02_DS_Nhan_Viec'!$B:$B,0)),""),'05_Theo_Doi_Gio_Cong_7_Ngay'!$B:$B,0)),"")="",IFERROR(INDEX('05_Theo_Doi_Gio_Cong_7_Ngay'!$R:$R,MATCH(IFERROR(INDEX('02_DS_Nhan_Viec'!$J:$J,MATCH($B60,'02_DS_Nhan_Viec'!$B:$B,0)),""),'05_Theo_Doi_Gio_Cong_7_Ngay'!$B:$B,0)),0)=0),"Đang theo dõi",IFERROR(INDEX('06_DS_Chinh_Thuc'!$K:$K,MATCH(IFERROR(INDEX('05_Theo_Doi_Gio_Cong_7_Ngay'!$R:$R,MATCH(IFERROR(INDEX('02_DS_Nhan_Viec'!$J:$J,MATCH($B60,'02_DS_Nhan_Viec'!$B:$B,0)),""),'05_Theo_Doi_Gio_Cong_7_Ngay'!$B:$B,0)),0),'06_DS_Chinh_Thuc'!$B:$B,0)),"Đang theo dõi"))))</f>
      </c>
    </row>
    <row r="61" ht="14.25" customHeight="1" spans="1:8" x14ac:dyDescent="0.25">
      <c r="A61" s="78">
        <v>56</v>
      </c>
      <c r="B61" s="79">
        <f t="array" ref="B61">IFERROR(INDEX('02_DS_Nhan_Viec'!$B:$B,MATCH(56,'02_DS_Nhan_Viec'!$L:$L,0)),"")</f>
      </c>
      <c r="C61" s="79">
        <f t="array" ref="C61">IFERROR(INDEX('02_DS_Nhan_Viec'!$C:$C,MATCH(56,'02_DS_Nhan_Viec'!$L:$L,0)),"")</f>
      </c>
      <c r="D61" s="80">
        <f t="array" ref="D61">IFERROR(INDEX('02_DS_Nhan_Viec'!$D:$D,MATCH(56,'02_DS_Nhan_Viec'!$L:$L,0)),"")</f>
      </c>
      <c r="E61" s="80">
        <f t="array" ref="E61">IFERROR(INDEX('02_DS_Nhan_Viec'!$E:$E,MATCH(56,'02_DS_Nhan_Viec'!$L:$L,0)),"")</f>
      </c>
      <c r="F61" s="79">
        <f t="array" ref="F61">IFERROR(INDEX('02_DS_Nhan_Viec'!$F:$F,MATCH(56,'02_DS_Nhan_Viec'!$L:$L,0)),"")</f>
      </c>
      <c r="G61" s="79">
        <f t="array" ref="G61">IFERROR(INDEX('02_DS_Nhan_Viec'!$K:$K,MATCH(56,'02_DS_Nhan_Viec'!$L:$L,0)),"")</f>
      </c>
      <c r="H61" s="61">
        <f t="array" ref="H61">IF($B61="","",IF(IFERROR(INDEX('02_DS_Nhan_Viec'!$J:$J,MATCH($B61,'02_DS_Nhan_Viec'!$B:$B,0)),"")="","Đang theo dõi",IF(OR(IFERROR(INDEX('05_Theo_Doi_Gio_Cong_7_Ngay'!$R:$R,MATCH(IFERROR(INDEX('02_DS_Nhan_Viec'!$J:$J,MATCH($B61,'02_DS_Nhan_Viec'!$B:$B,0)),""),'05_Theo_Doi_Gio_Cong_7_Ngay'!$B:$B,0)),"")="",IFERROR(INDEX('05_Theo_Doi_Gio_Cong_7_Ngay'!$R:$R,MATCH(IFERROR(INDEX('02_DS_Nhan_Viec'!$J:$J,MATCH($B61,'02_DS_Nhan_Viec'!$B:$B,0)),""),'05_Theo_Doi_Gio_Cong_7_Ngay'!$B:$B,0)),0)=0),"Đang theo dõi",IFERROR(INDEX('06_DS_Chinh_Thuc'!$K:$K,MATCH(IFERROR(INDEX('05_Theo_Doi_Gio_Cong_7_Ngay'!$R:$R,MATCH(IFERROR(INDEX('02_DS_Nhan_Viec'!$J:$J,MATCH($B61,'02_DS_Nhan_Viec'!$B:$B,0)),""),'05_Theo_Doi_Gio_Cong_7_Ngay'!$B:$B,0)),0),'06_DS_Chinh_Thuc'!$B:$B,0)),"Đang theo dõi"))))</f>
      </c>
    </row>
    <row r="62" ht="14.25" customHeight="1" spans="1:8" x14ac:dyDescent="0.25">
      <c r="A62" s="78">
        <v>57</v>
      </c>
      <c r="B62" s="79">
        <f t="array" ref="B62">IFERROR(INDEX('02_DS_Nhan_Viec'!$B:$B,MATCH(57,'02_DS_Nhan_Viec'!$L:$L,0)),"")</f>
      </c>
      <c r="C62" s="79">
        <f t="array" ref="C62">IFERROR(INDEX('02_DS_Nhan_Viec'!$C:$C,MATCH(57,'02_DS_Nhan_Viec'!$L:$L,0)),"")</f>
      </c>
      <c r="D62" s="80">
        <f t="array" ref="D62">IFERROR(INDEX('02_DS_Nhan_Viec'!$D:$D,MATCH(57,'02_DS_Nhan_Viec'!$L:$L,0)),"")</f>
      </c>
      <c r="E62" s="80">
        <f t="array" ref="E62">IFERROR(INDEX('02_DS_Nhan_Viec'!$E:$E,MATCH(57,'02_DS_Nhan_Viec'!$L:$L,0)),"")</f>
      </c>
      <c r="F62" s="79">
        <f t="array" ref="F62">IFERROR(INDEX('02_DS_Nhan_Viec'!$F:$F,MATCH(57,'02_DS_Nhan_Viec'!$L:$L,0)),"")</f>
      </c>
      <c r="G62" s="79">
        <f t="array" ref="G62">IFERROR(INDEX('02_DS_Nhan_Viec'!$K:$K,MATCH(57,'02_DS_Nhan_Viec'!$L:$L,0)),"")</f>
      </c>
      <c r="H62" s="61">
        <f t="array" ref="H62">IF($B62="","",IF(IFERROR(INDEX('02_DS_Nhan_Viec'!$J:$J,MATCH($B62,'02_DS_Nhan_Viec'!$B:$B,0)),"")="","Đang theo dõi",IF(OR(IFERROR(INDEX('05_Theo_Doi_Gio_Cong_7_Ngay'!$R:$R,MATCH(IFERROR(INDEX('02_DS_Nhan_Viec'!$J:$J,MATCH($B62,'02_DS_Nhan_Viec'!$B:$B,0)),""),'05_Theo_Doi_Gio_Cong_7_Ngay'!$B:$B,0)),"")="",IFERROR(INDEX('05_Theo_Doi_Gio_Cong_7_Ngay'!$R:$R,MATCH(IFERROR(INDEX('02_DS_Nhan_Viec'!$J:$J,MATCH($B62,'02_DS_Nhan_Viec'!$B:$B,0)),""),'05_Theo_Doi_Gio_Cong_7_Ngay'!$B:$B,0)),0)=0),"Đang theo dõi",IFERROR(INDEX('06_DS_Chinh_Thuc'!$K:$K,MATCH(IFERROR(INDEX('05_Theo_Doi_Gio_Cong_7_Ngay'!$R:$R,MATCH(IFERROR(INDEX('02_DS_Nhan_Viec'!$J:$J,MATCH($B62,'02_DS_Nhan_Viec'!$B:$B,0)),""),'05_Theo_Doi_Gio_Cong_7_Ngay'!$B:$B,0)),0),'06_DS_Chinh_Thuc'!$B:$B,0)),"Đang theo dõi"))))</f>
      </c>
    </row>
    <row r="63" ht="14.25" customHeight="1" spans="1:8" x14ac:dyDescent="0.25">
      <c r="A63" s="78">
        <v>58</v>
      </c>
      <c r="B63" s="79">
        <f t="array" ref="B63">IFERROR(INDEX('02_DS_Nhan_Viec'!$B:$B,MATCH(58,'02_DS_Nhan_Viec'!$L:$L,0)),"")</f>
      </c>
      <c r="C63" s="79">
        <f t="array" ref="C63">IFERROR(INDEX('02_DS_Nhan_Viec'!$C:$C,MATCH(58,'02_DS_Nhan_Viec'!$L:$L,0)),"")</f>
      </c>
      <c r="D63" s="80">
        <f t="array" ref="D63">IFERROR(INDEX('02_DS_Nhan_Viec'!$D:$D,MATCH(58,'02_DS_Nhan_Viec'!$L:$L,0)),"")</f>
      </c>
      <c r="E63" s="80">
        <f t="array" ref="E63">IFERROR(INDEX('02_DS_Nhan_Viec'!$E:$E,MATCH(58,'02_DS_Nhan_Viec'!$L:$L,0)),"")</f>
      </c>
      <c r="F63" s="79">
        <f t="array" ref="F63">IFERROR(INDEX('02_DS_Nhan_Viec'!$F:$F,MATCH(58,'02_DS_Nhan_Viec'!$L:$L,0)),"")</f>
      </c>
      <c r="G63" s="79">
        <f t="array" ref="G63">IFERROR(INDEX('02_DS_Nhan_Viec'!$K:$K,MATCH(58,'02_DS_Nhan_Viec'!$L:$L,0)),"")</f>
      </c>
      <c r="H63" s="61">
        <f t="array" ref="H63">IF($B63="","",IF(IFERROR(INDEX('02_DS_Nhan_Viec'!$J:$J,MATCH($B63,'02_DS_Nhan_Viec'!$B:$B,0)),"")="","Đang theo dõi",IF(OR(IFERROR(INDEX('05_Theo_Doi_Gio_Cong_7_Ngay'!$R:$R,MATCH(IFERROR(INDEX('02_DS_Nhan_Viec'!$J:$J,MATCH($B63,'02_DS_Nhan_Viec'!$B:$B,0)),""),'05_Theo_Doi_Gio_Cong_7_Ngay'!$B:$B,0)),"")="",IFERROR(INDEX('05_Theo_Doi_Gio_Cong_7_Ngay'!$R:$R,MATCH(IFERROR(INDEX('02_DS_Nhan_Viec'!$J:$J,MATCH($B63,'02_DS_Nhan_Viec'!$B:$B,0)),""),'05_Theo_Doi_Gio_Cong_7_Ngay'!$B:$B,0)),0)=0),"Đang theo dõi",IFERROR(INDEX('06_DS_Chinh_Thuc'!$K:$K,MATCH(IFERROR(INDEX('05_Theo_Doi_Gio_Cong_7_Ngay'!$R:$R,MATCH(IFERROR(INDEX('02_DS_Nhan_Viec'!$J:$J,MATCH($B63,'02_DS_Nhan_Viec'!$B:$B,0)),""),'05_Theo_Doi_Gio_Cong_7_Ngay'!$B:$B,0)),0),'06_DS_Chinh_Thuc'!$B:$B,0)),"Đang theo dõi"))))</f>
      </c>
    </row>
    <row r="64" ht="14.25" customHeight="1" spans="1:8" x14ac:dyDescent="0.25">
      <c r="A64" s="78">
        <v>59</v>
      </c>
      <c r="B64" s="79">
        <f t="array" ref="B64">IFERROR(INDEX('02_DS_Nhan_Viec'!$B:$B,MATCH(59,'02_DS_Nhan_Viec'!$L:$L,0)),"")</f>
      </c>
      <c r="C64" s="79">
        <f t="array" ref="C64">IFERROR(INDEX('02_DS_Nhan_Viec'!$C:$C,MATCH(59,'02_DS_Nhan_Viec'!$L:$L,0)),"")</f>
      </c>
      <c r="D64" s="80">
        <f t="array" ref="D64">IFERROR(INDEX('02_DS_Nhan_Viec'!$D:$D,MATCH(59,'02_DS_Nhan_Viec'!$L:$L,0)),"")</f>
      </c>
      <c r="E64" s="80">
        <f t="array" ref="E64">IFERROR(INDEX('02_DS_Nhan_Viec'!$E:$E,MATCH(59,'02_DS_Nhan_Viec'!$L:$L,0)),"")</f>
      </c>
      <c r="F64" s="79">
        <f t="array" ref="F64">IFERROR(INDEX('02_DS_Nhan_Viec'!$F:$F,MATCH(59,'02_DS_Nhan_Viec'!$L:$L,0)),"")</f>
      </c>
      <c r="G64" s="79">
        <f t="array" ref="G64">IFERROR(INDEX('02_DS_Nhan_Viec'!$K:$K,MATCH(59,'02_DS_Nhan_Viec'!$L:$L,0)),"")</f>
      </c>
      <c r="H64" s="61">
        <f t="array" ref="H64">IF($B64="","",IF(IFERROR(INDEX('02_DS_Nhan_Viec'!$J:$J,MATCH($B64,'02_DS_Nhan_Viec'!$B:$B,0)),"")="","Đang theo dõi",IF(OR(IFERROR(INDEX('05_Theo_Doi_Gio_Cong_7_Ngay'!$R:$R,MATCH(IFERROR(INDEX('02_DS_Nhan_Viec'!$J:$J,MATCH($B64,'02_DS_Nhan_Viec'!$B:$B,0)),""),'05_Theo_Doi_Gio_Cong_7_Ngay'!$B:$B,0)),"")="",IFERROR(INDEX('05_Theo_Doi_Gio_Cong_7_Ngay'!$R:$R,MATCH(IFERROR(INDEX('02_DS_Nhan_Viec'!$J:$J,MATCH($B64,'02_DS_Nhan_Viec'!$B:$B,0)),""),'05_Theo_Doi_Gio_Cong_7_Ngay'!$B:$B,0)),0)=0),"Đang theo dõi",IFERROR(INDEX('06_DS_Chinh_Thuc'!$K:$K,MATCH(IFERROR(INDEX('05_Theo_Doi_Gio_Cong_7_Ngay'!$R:$R,MATCH(IFERROR(INDEX('02_DS_Nhan_Viec'!$J:$J,MATCH($B64,'02_DS_Nhan_Viec'!$B:$B,0)),""),'05_Theo_Doi_Gio_Cong_7_Ngay'!$B:$B,0)),0),'06_DS_Chinh_Thuc'!$B:$B,0)),"Đang theo dõi"))))</f>
      </c>
    </row>
    <row r="65" ht="14.25" customHeight="1" spans="1:8" x14ac:dyDescent="0.25">
      <c r="A65" s="78">
        <v>60</v>
      </c>
      <c r="B65" s="79">
        <f t="array" ref="B65">IFERROR(INDEX('02_DS_Nhan_Viec'!$B:$B,MATCH(60,'02_DS_Nhan_Viec'!$L:$L,0)),"")</f>
      </c>
      <c r="C65" s="79">
        <f t="array" ref="C65">IFERROR(INDEX('02_DS_Nhan_Viec'!$C:$C,MATCH(60,'02_DS_Nhan_Viec'!$L:$L,0)),"")</f>
      </c>
      <c r="D65" s="80">
        <f t="array" ref="D65">IFERROR(INDEX('02_DS_Nhan_Viec'!$D:$D,MATCH(60,'02_DS_Nhan_Viec'!$L:$L,0)),"")</f>
      </c>
      <c r="E65" s="80">
        <f t="array" ref="E65">IFERROR(INDEX('02_DS_Nhan_Viec'!$E:$E,MATCH(60,'02_DS_Nhan_Viec'!$L:$L,0)),"")</f>
      </c>
      <c r="F65" s="79">
        <f t="array" ref="F65">IFERROR(INDEX('02_DS_Nhan_Viec'!$F:$F,MATCH(60,'02_DS_Nhan_Viec'!$L:$L,0)),"")</f>
      </c>
      <c r="G65" s="79">
        <f t="array" ref="G65">IFERROR(INDEX('02_DS_Nhan_Viec'!$K:$K,MATCH(60,'02_DS_Nhan_Viec'!$L:$L,0)),"")</f>
      </c>
      <c r="H65" s="61">
        <f t="array" ref="H65">IF($B65="","",IF(IFERROR(INDEX('02_DS_Nhan_Viec'!$J:$J,MATCH($B65,'02_DS_Nhan_Viec'!$B:$B,0)),"")="","Đang theo dõi",IF(OR(IFERROR(INDEX('05_Theo_Doi_Gio_Cong_7_Ngay'!$R:$R,MATCH(IFERROR(INDEX('02_DS_Nhan_Viec'!$J:$J,MATCH($B65,'02_DS_Nhan_Viec'!$B:$B,0)),""),'05_Theo_Doi_Gio_Cong_7_Ngay'!$B:$B,0)),"")="",IFERROR(INDEX('05_Theo_Doi_Gio_Cong_7_Ngay'!$R:$R,MATCH(IFERROR(INDEX('02_DS_Nhan_Viec'!$J:$J,MATCH($B65,'02_DS_Nhan_Viec'!$B:$B,0)),""),'05_Theo_Doi_Gio_Cong_7_Ngay'!$B:$B,0)),0)=0),"Đang theo dõi",IFERROR(INDEX('06_DS_Chinh_Thuc'!$K:$K,MATCH(IFERROR(INDEX('05_Theo_Doi_Gio_Cong_7_Ngay'!$R:$R,MATCH(IFERROR(INDEX('02_DS_Nhan_Viec'!$J:$J,MATCH($B65,'02_DS_Nhan_Viec'!$B:$B,0)),""),'05_Theo_Doi_Gio_Cong_7_Ngay'!$B:$B,0)),0),'06_DS_Chinh_Thuc'!$B:$B,0)),"Đang theo dõi"))))</f>
      </c>
    </row>
    <row r="66" ht="14.25" customHeight="1" spans="1:8" x14ac:dyDescent="0.25">
      <c r="A66" s="78">
        <v>61</v>
      </c>
      <c r="B66" s="79">
        <f t="array" ref="B66">IFERROR(INDEX('02_DS_Nhan_Viec'!$B:$B,MATCH(61,'02_DS_Nhan_Viec'!$L:$L,0)),"")</f>
      </c>
      <c r="C66" s="79">
        <f t="array" ref="C66">IFERROR(INDEX('02_DS_Nhan_Viec'!$C:$C,MATCH(61,'02_DS_Nhan_Viec'!$L:$L,0)),"")</f>
      </c>
      <c r="D66" s="80">
        <f t="array" ref="D66">IFERROR(INDEX('02_DS_Nhan_Viec'!$D:$D,MATCH(61,'02_DS_Nhan_Viec'!$L:$L,0)),"")</f>
      </c>
      <c r="E66" s="80">
        <f t="array" ref="E66">IFERROR(INDEX('02_DS_Nhan_Viec'!$E:$E,MATCH(61,'02_DS_Nhan_Viec'!$L:$L,0)),"")</f>
      </c>
      <c r="F66" s="79">
        <f t="array" ref="F66">IFERROR(INDEX('02_DS_Nhan_Viec'!$F:$F,MATCH(61,'02_DS_Nhan_Viec'!$L:$L,0)),"")</f>
      </c>
      <c r="G66" s="79">
        <f t="array" ref="G66">IFERROR(INDEX('02_DS_Nhan_Viec'!$K:$K,MATCH(61,'02_DS_Nhan_Viec'!$L:$L,0)),"")</f>
      </c>
      <c r="H66" s="61">
        <f t="array" ref="H66">IF($B66="","",IF(IFERROR(INDEX('02_DS_Nhan_Viec'!$J:$J,MATCH($B66,'02_DS_Nhan_Viec'!$B:$B,0)),"")="","Đang theo dõi",IF(OR(IFERROR(INDEX('05_Theo_Doi_Gio_Cong_7_Ngay'!$R:$R,MATCH(IFERROR(INDEX('02_DS_Nhan_Viec'!$J:$J,MATCH($B66,'02_DS_Nhan_Viec'!$B:$B,0)),""),'05_Theo_Doi_Gio_Cong_7_Ngay'!$B:$B,0)),"")="",IFERROR(INDEX('05_Theo_Doi_Gio_Cong_7_Ngay'!$R:$R,MATCH(IFERROR(INDEX('02_DS_Nhan_Viec'!$J:$J,MATCH($B66,'02_DS_Nhan_Viec'!$B:$B,0)),""),'05_Theo_Doi_Gio_Cong_7_Ngay'!$B:$B,0)),0)=0),"Đang theo dõi",IFERROR(INDEX('06_DS_Chinh_Thuc'!$K:$K,MATCH(IFERROR(INDEX('05_Theo_Doi_Gio_Cong_7_Ngay'!$R:$R,MATCH(IFERROR(INDEX('02_DS_Nhan_Viec'!$J:$J,MATCH($B66,'02_DS_Nhan_Viec'!$B:$B,0)),""),'05_Theo_Doi_Gio_Cong_7_Ngay'!$B:$B,0)),0),'06_DS_Chinh_Thuc'!$B:$B,0)),"Đang theo dõi"))))</f>
      </c>
    </row>
    <row r="67" ht="14.25" customHeight="1" spans="1:8" x14ac:dyDescent="0.25">
      <c r="A67" s="78">
        <v>62</v>
      </c>
      <c r="B67" s="79">
        <f t="array" ref="B67">IFERROR(INDEX('02_DS_Nhan_Viec'!$B:$B,MATCH(62,'02_DS_Nhan_Viec'!$L:$L,0)),"")</f>
      </c>
      <c r="C67" s="79">
        <f t="array" ref="C67">IFERROR(INDEX('02_DS_Nhan_Viec'!$C:$C,MATCH(62,'02_DS_Nhan_Viec'!$L:$L,0)),"")</f>
      </c>
      <c r="D67" s="80">
        <f t="array" ref="D67">IFERROR(INDEX('02_DS_Nhan_Viec'!$D:$D,MATCH(62,'02_DS_Nhan_Viec'!$L:$L,0)),"")</f>
      </c>
      <c r="E67" s="80">
        <f t="array" ref="E67">IFERROR(INDEX('02_DS_Nhan_Viec'!$E:$E,MATCH(62,'02_DS_Nhan_Viec'!$L:$L,0)),"")</f>
      </c>
      <c r="F67" s="79">
        <f t="array" ref="F67">IFERROR(INDEX('02_DS_Nhan_Viec'!$F:$F,MATCH(62,'02_DS_Nhan_Viec'!$L:$L,0)),"")</f>
      </c>
      <c r="G67" s="79">
        <f t="array" ref="G67">IFERROR(INDEX('02_DS_Nhan_Viec'!$K:$K,MATCH(62,'02_DS_Nhan_Viec'!$L:$L,0)),"")</f>
      </c>
      <c r="H67" s="61">
        <f t="array" ref="H67">IF($B67="","",IF(IFERROR(INDEX('02_DS_Nhan_Viec'!$J:$J,MATCH($B67,'02_DS_Nhan_Viec'!$B:$B,0)),"")="","Đang theo dõi",IF(OR(IFERROR(INDEX('05_Theo_Doi_Gio_Cong_7_Ngay'!$R:$R,MATCH(IFERROR(INDEX('02_DS_Nhan_Viec'!$J:$J,MATCH($B67,'02_DS_Nhan_Viec'!$B:$B,0)),""),'05_Theo_Doi_Gio_Cong_7_Ngay'!$B:$B,0)),"")="",IFERROR(INDEX('05_Theo_Doi_Gio_Cong_7_Ngay'!$R:$R,MATCH(IFERROR(INDEX('02_DS_Nhan_Viec'!$J:$J,MATCH($B67,'02_DS_Nhan_Viec'!$B:$B,0)),""),'05_Theo_Doi_Gio_Cong_7_Ngay'!$B:$B,0)),0)=0),"Đang theo dõi",IFERROR(INDEX('06_DS_Chinh_Thuc'!$K:$K,MATCH(IFERROR(INDEX('05_Theo_Doi_Gio_Cong_7_Ngay'!$R:$R,MATCH(IFERROR(INDEX('02_DS_Nhan_Viec'!$J:$J,MATCH($B67,'02_DS_Nhan_Viec'!$B:$B,0)),""),'05_Theo_Doi_Gio_Cong_7_Ngay'!$B:$B,0)),0),'06_DS_Chinh_Thuc'!$B:$B,0)),"Đang theo dõi"))))</f>
      </c>
    </row>
    <row r="68" ht="14.25" customHeight="1" spans="1:8" x14ac:dyDescent="0.25">
      <c r="A68" s="78">
        <v>63</v>
      </c>
      <c r="B68" s="79">
        <f t="array" ref="B68">IFERROR(INDEX('02_DS_Nhan_Viec'!$B:$B,MATCH(63,'02_DS_Nhan_Viec'!$L:$L,0)),"")</f>
      </c>
      <c r="C68" s="79">
        <f t="array" ref="C68">IFERROR(INDEX('02_DS_Nhan_Viec'!$C:$C,MATCH(63,'02_DS_Nhan_Viec'!$L:$L,0)),"")</f>
      </c>
      <c r="D68" s="80">
        <f t="array" ref="D68">IFERROR(INDEX('02_DS_Nhan_Viec'!$D:$D,MATCH(63,'02_DS_Nhan_Viec'!$L:$L,0)),"")</f>
      </c>
      <c r="E68" s="80">
        <f t="array" ref="E68">IFERROR(INDEX('02_DS_Nhan_Viec'!$E:$E,MATCH(63,'02_DS_Nhan_Viec'!$L:$L,0)),"")</f>
      </c>
      <c r="F68" s="79">
        <f t="array" ref="F68">IFERROR(INDEX('02_DS_Nhan_Viec'!$F:$F,MATCH(63,'02_DS_Nhan_Viec'!$L:$L,0)),"")</f>
      </c>
      <c r="G68" s="79">
        <f t="array" ref="G68">IFERROR(INDEX('02_DS_Nhan_Viec'!$K:$K,MATCH(63,'02_DS_Nhan_Viec'!$L:$L,0)),"")</f>
      </c>
      <c r="H68" s="61">
        <f t="array" ref="H68">IF($B68="","",IF(IFERROR(INDEX('02_DS_Nhan_Viec'!$J:$J,MATCH($B68,'02_DS_Nhan_Viec'!$B:$B,0)),"")="","Đang theo dõi",IF(OR(IFERROR(INDEX('05_Theo_Doi_Gio_Cong_7_Ngay'!$R:$R,MATCH(IFERROR(INDEX('02_DS_Nhan_Viec'!$J:$J,MATCH($B68,'02_DS_Nhan_Viec'!$B:$B,0)),""),'05_Theo_Doi_Gio_Cong_7_Ngay'!$B:$B,0)),"")="",IFERROR(INDEX('05_Theo_Doi_Gio_Cong_7_Ngay'!$R:$R,MATCH(IFERROR(INDEX('02_DS_Nhan_Viec'!$J:$J,MATCH($B68,'02_DS_Nhan_Viec'!$B:$B,0)),""),'05_Theo_Doi_Gio_Cong_7_Ngay'!$B:$B,0)),0)=0),"Đang theo dõi",IFERROR(INDEX('06_DS_Chinh_Thuc'!$K:$K,MATCH(IFERROR(INDEX('05_Theo_Doi_Gio_Cong_7_Ngay'!$R:$R,MATCH(IFERROR(INDEX('02_DS_Nhan_Viec'!$J:$J,MATCH($B68,'02_DS_Nhan_Viec'!$B:$B,0)),""),'05_Theo_Doi_Gio_Cong_7_Ngay'!$B:$B,0)),0),'06_DS_Chinh_Thuc'!$B:$B,0)),"Đang theo dõi"))))</f>
      </c>
    </row>
    <row r="69" ht="14.25" customHeight="1" spans="1:8" x14ac:dyDescent="0.25">
      <c r="A69" s="78">
        <v>64</v>
      </c>
      <c r="B69" s="79">
        <f t="array" ref="B69">IFERROR(INDEX('02_DS_Nhan_Viec'!$B:$B,MATCH(64,'02_DS_Nhan_Viec'!$L:$L,0)),"")</f>
      </c>
      <c r="C69" s="79">
        <f t="array" ref="C69">IFERROR(INDEX('02_DS_Nhan_Viec'!$C:$C,MATCH(64,'02_DS_Nhan_Viec'!$L:$L,0)),"")</f>
      </c>
      <c r="D69" s="80">
        <f t="array" ref="D69">IFERROR(INDEX('02_DS_Nhan_Viec'!$D:$D,MATCH(64,'02_DS_Nhan_Viec'!$L:$L,0)),"")</f>
      </c>
      <c r="E69" s="80">
        <f t="array" ref="E69">IFERROR(INDEX('02_DS_Nhan_Viec'!$E:$E,MATCH(64,'02_DS_Nhan_Viec'!$L:$L,0)),"")</f>
      </c>
      <c r="F69" s="79">
        <f t="array" ref="F69">IFERROR(INDEX('02_DS_Nhan_Viec'!$F:$F,MATCH(64,'02_DS_Nhan_Viec'!$L:$L,0)),"")</f>
      </c>
      <c r="G69" s="79">
        <f t="array" ref="G69">IFERROR(INDEX('02_DS_Nhan_Viec'!$K:$K,MATCH(64,'02_DS_Nhan_Viec'!$L:$L,0)),"")</f>
      </c>
      <c r="H69" s="61">
        <f t="array" ref="H69">IF($B69="","",IF(IFERROR(INDEX('02_DS_Nhan_Viec'!$J:$J,MATCH($B69,'02_DS_Nhan_Viec'!$B:$B,0)),"")="","Đang theo dõi",IF(OR(IFERROR(INDEX('05_Theo_Doi_Gio_Cong_7_Ngay'!$R:$R,MATCH(IFERROR(INDEX('02_DS_Nhan_Viec'!$J:$J,MATCH($B69,'02_DS_Nhan_Viec'!$B:$B,0)),""),'05_Theo_Doi_Gio_Cong_7_Ngay'!$B:$B,0)),"")="",IFERROR(INDEX('05_Theo_Doi_Gio_Cong_7_Ngay'!$R:$R,MATCH(IFERROR(INDEX('02_DS_Nhan_Viec'!$J:$J,MATCH($B69,'02_DS_Nhan_Viec'!$B:$B,0)),""),'05_Theo_Doi_Gio_Cong_7_Ngay'!$B:$B,0)),0)=0),"Đang theo dõi",IFERROR(INDEX('06_DS_Chinh_Thuc'!$K:$K,MATCH(IFERROR(INDEX('05_Theo_Doi_Gio_Cong_7_Ngay'!$R:$R,MATCH(IFERROR(INDEX('02_DS_Nhan_Viec'!$J:$J,MATCH($B69,'02_DS_Nhan_Viec'!$B:$B,0)),""),'05_Theo_Doi_Gio_Cong_7_Ngay'!$B:$B,0)),0),'06_DS_Chinh_Thuc'!$B:$B,0)),"Đang theo dõi"))))</f>
      </c>
    </row>
    <row r="70" ht="14.25" customHeight="1" spans="1:8" x14ac:dyDescent="0.25">
      <c r="A70" s="78">
        <v>65</v>
      </c>
      <c r="B70" s="79">
        <f t="array" ref="B70">IFERROR(INDEX('02_DS_Nhan_Viec'!$B:$B,MATCH(65,'02_DS_Nhan_Viec'!$L:$L,0)),"")</f>
      </c>
      <c r="C70" s="79">
        <f t="array" ref="C70">IFERROR(INDEX('02_DS_Nhan_Viec'!$C:$C,MATCH(65,'02_DS_Nhan_Viec'!$L:$L,0)),"")</f>
      </c>
      <c r="D70" s="80">
        <f t="array" ref="D70">IFERROR(INDEX('02_DS_Nhan_Viec'!$D:$D,MATCH(65,'02_DS_Nhan_Viec'!$L:$L,0)),"")</f>
      </c>
      <c r="E70" s="80">
        <f t="array" ref="E70">IFERROR(INDEX('02_DS_Nhan_Viec'!$E:$E,MATCH(65,'02_DS_Nhan_Viec'!$L:$L,0)),"")</f>
      </c>
      <c r="F70" s="79">
        <f t="array" ref="F70">IFERROR(INDEX('02_DS_Nhan_Viec'!$F:$F,MATCH(65,'02_DS_Nhan_Viec'!$L:$L,0)),"")</f>
      </c>
      <c r="G70" s="79">
        <f t="array" ref="G70">IFERROR(INDEX('02_DS_Nhan_Viec'!$K:$K,MATCH(65,'02_DS_Nhan_Viec'!$L:$L,0)),"")</f>
      </c>
      <c r="H70" s="61">
        <f t="array" ref="H70">IF($B70="","",IF(IFERROR(INDEX('02_DS_Nhan_Viec'!$J:$J,MATCH($B70,'02_DS_Nhan_Viec'!$B:$B,0)),"")="","Đang theo dõi",IF(OR(IFERROR(INDEX('05_Theo_Doi_Gio_Cong_7_Ngay'!$R:$R,MATCH(IFERROR(INDEX('02_DS_Nhan_Viec'!$J:$J,MATCH($B70,'02_DS_Nhan_Viec'!$B:$B,0)),""),'05_Theo_Doi_Gio_Cong_7_Ngay'!$B:$B,0)),"")="",IFERROR(INDEX('05_Theo_Doi_Gio_Cong_7_Ngay'!$R:$R,MATCH(IFERROR(INDEX('02_DS_Nhan_Viec'!$J:$J,MATCH($B70,'02_DS_Nhan_Viec'!$B:$B,0)),""),'05_Theo_Doi_Gio_Cong_7_Ngay'!$B:$B,0)),0)=0),"Đang theo dõi",IFERROR(INDEX('06_DS_Chinh_Thuc'!$K:$K,MATCH(IFERROR(INDEX('05_Theo_Doi_Gio_Cong_7_Ngay'!$R:$R,MATCH(IFERROR(INDEX('02_DS_Nhan_Viec'!$J:$J,MATCH($B70,'02_DS_Nhan_Viec'!$B:$B,0)),""),'05_Theo_Doi_Gio_Cong_7_Ngay'!$B:$B,0)),0),'06_DS_Chinh_Thuc'!$B:$B,0)),"Đang theo dõi"))))</f>
      </c>
    </row>
    <row r="71" ht="14.25" customHeight="1" spans="1:8" x14ac:dyDescent="0.25">
      <c r="A71" s="78">
        <v>66</v>
      </c>
      <c r="B71" s="79">
        <f t="array" ref="B71">IFERROR(INDEX('02_DS_Nhan_Viec'!$B:$B,MATCH(66,'02_DS_Nhan_Viec'!$L:$L,0)),"")</f>
      </c>
      <c r="C71" s="79">
        <f t="array" ref="C71">IFERROR(INDEX('02_DS_Nhan_Viec'!$C:$C,MATCH(66,'02_DS_Nhan_Viec'!$L:$L,0)),"")</f>
      </c>
      <c r="D71" s="80">
        <f t="array" ref="D71">IFERROR(INDEX('02_DS_Nhan_Viec'!$D:$D,MATCH(66,'02_DS_Nhan_Viec'!$L:$L,0)),"")</f>
      </c>
      <c r="E71" s="80">
        <f t="array" ref="E71">IFERROR(INDEX('02_DS_Nhan_Viec'!$E:$E,MATCH(66,'02_DS_Nhan_Viec'!$L:$L,0)),"")</f>
      </c>
      <c r="F71" s="79">
        <f t="array" ref="F71">IFERROR(INDEX('02_DS_Nhan_Viec'!$F:$F,MATCH(66,'02_DS_Nhan_Viec'!$L:$L,0)),"")</f>
      </c>
      <c r="G71" s="79">
        <f t="array" ref="G71">IFERROR(INDEX('02_DS_Nhan_Viec'!$K:$K,MATCH(66,'02_DS_Nhan_Viec'!$L:$L,0)),"")</f>
      </c>
      <c r="H71" s="61">
        <f t="array" ref="H71">IF($B71="","",IF(IFERROR(INDEX('02_DS_Nhan_Viec'!$J:$J,MATCH($B71,'02_DS_Nhan_Viec'!$B:$B,0)),"")="","Đang theo dõi",IF(OR(IFERROR(INDEX('05_Theo_Doi_Gio_Cong_7_Ngay'!$R:$R,MATCH(IFERROR(INDEX('02_DS_Nhan_Viec'!$J:$J,MATCH($B71,'02_DS_Nhan_Viec'!$B:$B,0)),""),'05_Theo_Doi_Gio_Cong_7_Ngay'!$B:$B,0)),"")="",IFERROR(INDEX('05_Theo_Doi_Gio_Cong_7_Ngay'!$R:$R,MATCH(IFERROR(INDEX('02_DS_Nhan_Viec'!$J:$J,MATCH($B71,'02_DS_Nhan_Viec'!$B:$B,0)),""),'05_Theo_Doi_Gio_Cong_7_Ngay'!$B:$B,0)),0)=0),"Đang theo dõi",IFERROR(INDEX('06_DS_Chinh_Thuc'!$K:$K,MATCH(IFERROR(INDEX('05_Theo_Doi_Gio_Cong_7_Ngay'!$R:$R,MATCH(IFERROR(INDEX('02_DS_Nhan_Viec'!$J:$J,MATCH($B71,'02_DS_Nhan_Viec'!$B:$B,0)),""),'05_Theo_Doi_Gio_Cong_7_Ngay'!$B:$B,0)),0),'06_DS_Chinh_Thuc'!$B:$B,0)),"Đang theo dõi"))))</f>
      </c>
    </row>
    <row r="72" ht="14.25" customHeight="1" spans="1:8" x14ac:dyDescent="0.25">
      <c r="A72" s="78">
        <v>67</v>
      </c>
      <c r="B72" s="79">
        <f t="array" ref="B72">IFERROR(INDEX('02_DS_Nhan_Viec'!$B:$B,MATCH(67,'02_DS_Nhan_Viec'!$L:$L,0)),"")</f>
      </c>
      <c r="C72" s="79">
        <f t="array" ref="C72">IFERROR(INDEX('02_DS_Nhan_Viec'!$C:$C,MATCH(67,'02_DS_Nhan_Viec'!$L:$L,0)),"")</f>
      </c>
      <c r="D72" s="80">
        <f t="array" ref="D72">IFERROR(INDEX('02_DS_Nhan_Viec'!$D:$D,MATCH(67,'02_DS_Nhan_Viec'!$L:$L,0)),"")</f>
      </c>
      <c r="E72" s="80">
        <f t="array" ref="E72">IFERROR(INDEX('02_DS_Nhan_Viec'!$E:$E,MATCH(67,'02_DS_Nhan_Viec'!$L:$L,0)),"")</f>
      </c>
      <c r="F72" s="79">
        <f t="array" ref="F72">IFERROR(INDEX('02_DS_Nhan_Viec'!$F:$F,MATCH(67,'02_DS_Nhan_Viec'!$L:$L,0)),"")</f>
      </c>
      <c r="G72" s="79">
        <f t="array" ref="G72">IFERROR(INDEX('02_DS_Nhan_Viec'!$K:$K,MATCH(67,'02_DS_Nhan_Viec'!$L:$L,0)),"")</f>
      </c>
      <c r="H72" s="61">
        <f t="array" ref="H72">IF($B72="","",IF(IFERROR(INDEX('02_DS_Nhan_Viec'!$J:$J,MATCH($B72,'02_DS_Nhan_Viec'!$B:$B,0)),"")="","Đang theo dõi",IF(OR(IFERROR(INDEX('05_Theo_Doi_Gio_Cong_7_Ngay'!$R:$R,MATCH(IFERROR(INDEX('02_DS_Nhan_Viec'!$J:$J,MATCH($B72,'02_DS_Nhan_Viec'!$B:$B,0)),""),'05_Theo_Doi_Gio_Cong_7_Ngay'!$B:$B,0)),"")="",IFERROR(INDEX('05_Theo_Doi_Gio_Cong_7_Ngay'!$R:$R,MATCH(IFERROR(INDEX('02_DS_Nhan_Viec'!$J:$J,MATCH($B72,'02_DS_Nhan_Viec'!$B:$B,0)),""),'05_Theo_Doi_Gio_Cong_7_Ngay'!$B:$B,0)),0)=0),"Đang theo dõi",IFERROR(INDEX('06_DS_Chinh_Thuc'!$K:$K,MATCH(IFERROR(INDEX('05_Theo_Doi_Gio_Cong_7_Ngay'!$R:$R,MATCH(IFERROR(INDEX('02_DS_Nhan_Viec'!$J:$J,MATCH($B72,'02_DS_Nhan_Viec'!$B:$B,0)),""),'05_Theo_Doi_Gio_Cong_7_Ngay'!$B:$B,0)),0),'06_DS_Chinh_Thuc'!$B:$B,0)),"Đang theo dõi"))))</f>
      </c>
    </row>
    <row r="73" ht="14.25" customHeight="1" spans="1:8" x14ac:dyDescent="0.25">
      <c r="A73" s="78">
        <v>68</v>
      </c>
      <c r="B73" s="79">
        <f t="array" ref="B73">IFERROR(INDEX('02_DS_Nhan_Viec'!$B:$B,MATCH(68,'02_DS_Nhan_Viec'!$L:$L,0)),"")</f>
      </c>
      <c r="C73" s="79">
        <f t="array" ref="C73">IFERROR(INDEX('02_DS_Nhan_Viec'!$C:$C,MATCH(68,'02_DS_Nhan_Viec'!$L:$L,0)),"")</f>
      </c>
      <c r="D73" s="80">
        <f t="array" ref="D73">IFERROR(INDEX('02_DS_Nhan_Viec'!$D:$D,MATCH(68,'02_DS_Nhan_Viec'!$L:$L,0)),"")</f>
      </c>
      <c r="E73" s="80">
        <f t="array" ref="E73">IFERROR(INDEX('02_DS_Nhan_Viec'!$E:$E,MATCH(68,'02_DS_Nhan_Viec'!$L:$L,0)),"")</f>
      </c>
      <c r="F73" s="79">
        <f t="array" ref="F73">IFERROR(INDEX('02_DS_Nhan_Viec'!$F:$F,MATCH(68,'02_DS_Nhan_Viec'!$L:$L,0)),"")</f>
      </c>
      <c r="G73" s="79">
        <f t="array" ref="G73">IFERROR(INDEX('02_DS_Nhan_Viec'!$K:$K,MATCH(68,'02_DS_Nhan_Viec'!$L:$L,0)),"")</f>
      </c>
      <c r="H73" s="61">
        <f t="array" ref="H73">IF($B73="","",IF(IFERROR(INDEX('02_DS_Nhan_Viec'!$J:$J,MATCH($B73,'02_DS_Nhan_Viec'!$B:$B,0)),"")="","Đang theo dõi",IF(OR(IFERROR(INDEX('05_Theo_Doi_Gio_Cong_7_Ngay'!$R:$R,MATCH(IFERROR(INDEX('02_DS_Nhan_Viec'!$J:$J,MATCH($B73,'02_DS_Nhan_Viec'!$B:$B,0)),""),'05_Theo_Doi_Gio_Cong_7_Ngay'!$B:$B,0)),"")="",IFERROR(INDEX('05_Theo_Doi_Gio_Cong_7_Ngay'!$R:$R,MATCH(IFERROR(INDEX('02_DS_Nhan_Viec'!$J:$J,MATCH($B73,'02_DS_Nhan_Viec'!$B:$B,0)),""),'05_Theo_Doi_Gio_Cong_7_Ngay'!$B:$B,0)),0)=0),"Đang theo dõi",IFERROR(INDEX('06_DS_Chinh_Thuc'!$K:$K,MATCH(IFERROR(INDEX('05_Theo_Doi_Gio_Cong_7_Ngay'!$R:$R,MATCH(IFERROR(INDEX('02_DS_Nhan_Viec'!$J:$J,MATCH($B73,'02_DS_Nhan_Viec'!$B:$B,0)),""),'05_Theo_Doi_Gio_Cong_7_Ngay'!$B:$B,0)),0),'06_DS_Chinh_Thuc'!$B:$B,0)),"Đang theo dõi"))))</f>
      </c>
    </row>
    <row r="74" ht="14.25" customHeight="1" spans="1:8" x14ac:dyDescent="0.25">
      <c r="A74" s="78">
        <v>69</v>
      </c>
      <c r="B74" s="79">
        <f t="array" ref="B74">IFERROR(INDEX('02_DS_Nhan_Viec'!$B:$B,MATCH(69,'02_DS_Nhan_Viec'!$L:$L,0)),"")</f>
      </c>
      <c r="C74" s="79">
        <f t="array" ref="C74">IFERROR(INDEX('02_DS_Nhan_Viec'!$C:$C,MATCH(69,'02_DS_Nhan_Viec'!$L:$L,0)),"")</f>
      </c>
      <c r="D74" s="80">
        <f t="array" ref="D74">IFERROR(INDEX('02_DS_Nhan_Viec'!$D:$D,MATCH(69,'02_DS_Nhan_Viec'!$L:$L,0)),"")</f>
      </c>
      <c r="E74" s="80">
        <f t="array" ref="E74">IFERROR(INDEX('02_DS_Nhan_Viec'!$E:$E,MATCH(69,'02_DS_Nhan_Viec'!$L:$L,0)),"")</f>
      </c>
      <c r="F74" s="79">
        <f t="array" ref="F74">IFERROR(INDEX('02_DS_Nhan_Viec'!$F:$F,MATCH(69,'02_DS_Nhan_Viec'!$L:$L,0)),"")</f>
      </c>
      <c r="G74" s="79">
        <f t="array" ref="G74">IFERROR(INDEX('02_DS_Nhan_Viec'!$K:$K,MATCH(69,'02_DS_Nhan_Viec'!$L:$L,0)),"")</f>
      </c>
      <c r="H74" s="61">
        <f t="array" ref="H74">IF($B74="","",IF(IFERROR(INDEX('02_DS_Nhan_Viec'!$J:$J,MATCH($B74,'02_DS_Nhan_Viec'!$B:$B,0)),"")="","Đang theo dõi",IF(OR(IFERROR(INDEX('05_Theo_Doi_Gio_Cong_7_Ngay'!$R:$R,MATCH(IFERROR(INDEX('02_DS_Nhan_Viec'!$J:$J,MATCH($B74,'02_DS_Nhan_Viec'!$B:$B,0)),""),'05_Theo_Doi_Gio_Cong_7_Ngay'!$B:$B,0)),"")="",IFERROR(INDEX('05_Theo_Doi_Gio_Cong_7_Ngay'!$R:$R,MATCH(IFERROR(INDEX('02_DS_Nhan_Viec'!$J:$J,MATCH($B74,'02_DS_Nhan_Viec'!$B:$B,0)),""),'05_Theo_Doi_Gio_Cong_7_Ngay'!$B:$B,0)),0)=0),"Đang theo dõi",IFERROR(INDEX('06_DS_Chinh_Thuc'!$K:$K,MATCH(IFERROR(INDEX('05_Theo_Doi_Gio_Cong_7_Ngay'!$R:$R,MATCH(IFERROR(INDEX('02_DS_Nhan_Viec'!$J:$J,MATCH($B74,'02_DS_Nhan_Viec'!$B:$B,0)),""),'05_Theo_Doi_Gio_Cong_7_Ngay'!$B:$B,0)),0),'06_DS_Chinh_Thuc'!$B:$B,0)),"Đang theo dõi"))))</f>
      </c>
    </row>
    <row r="75" ht="14.25" customHeight="1" spans="1:8" x14ac:dyDescent="0.25">
      <c r="A75" s="78">
        <v>70</v>
      </c>
      <c r="B75" s="79">
        <f t="array" ref="B75">IFERROR(INDEX('02_DS_Nhan_Viec'!$B:$B,MATCH(70,'02_DS_Nhan_Viec'!$L:$L,0)),"")</f>
      </c>
      <c r="C75" s="79">
        <f t="array" ref="C75">IFERROR(INDEX('02_DS_Nhan_Viec'!$C:$C,MATCH(70,'02_DS_Nhan_Viec'!$L:$L,0)),"")</f>
      </c>
      <c r="D75" s="80">
        <f t="array" ref="D75">IFERROR(INDEX('02_DS_Nhan_Viec'!$D:$D,MATCH(70,'02_DS_Nhan_Viec'!$L:$L,0)),"")</f>
      </c>
      <c r="E75" s="80">
        <f t="array" ref="E75">IFERROR(INDEX('02_DS_Nhan_Viec'!$E:$E,MATCH(70,'02_DS_Nhan_Viec'!$L:$L,0)),"")</f>
      </c>
      <c r="F75" s="79">
        <f t="array" ref="F75">IFERROR(INDEX('02_DS_Nhan_Viec'!$F:$F,MATCH(70,'02_DS_Nhan_Viec'!$L:$L,0)),"")</f>
      </c>
      <c r="G75" s="79">
        <f t="array" ref="G75">IFERROR(INDEX('02_DS_Nhan_Viec'!$K:$K,MATCH(70,'02_DS_Nhan_Viec'!$L:$L,0)),"")</f>
      </c>
      <c r="H75" s="61">
        <f t="array" ref="H75">IF($B75="","",IF(IFERROR(INDEX('02_DS_Nhan_Viec'!$J:$J,MATCH($B75,'02_DS_Nhan_Viec'!$B:$B,0)),"")="","Đang theo dõi",IF(OR(IFERROR(INDEX('05_Theo_Doi_Gio_Cong_7_Ngay'!$R:$R,MATCH(IFERROR(INDEX('02_DS_Nhan_Viec'!$J:$J,MATCH($B75,'02_DS_Nhan_Viec'!$B:$B,0)),""),'05_Theo_Doi_Gio_Cong_7_Ngay'!$B:$B,0)),"")="",IFERROR(INDEX('05_Theo_Doi_Gio_Cong_7_Ngay'!$R:$R,MATCH(IFERROR(INDEX('02_DS_Nhan_Viec'!$J:$J,MATCH($B75,'02_DS_Nhan_Viec'!$B:$B,0)),""),'05_Theo_Doi_Gio_Cong_7_Ngay'!$B:$B,0)),0)=0),"Đang theo dõi",IFERROR(INDEX('06_DS_Chinh_Thuc'!$K:$K,MATCH(IFERROR(INDEX('05_Theo_Doi_Gio_Cong_7_Ngay'!$R:$R,MATCH(IFERROR(INDEX('02_DS_Nhan_Viec'!$J:$J,MATCH($B75,'02_DS_Nhan_Viec'!$B:$B,0)),""),'05_Theo_Doi_Gio_Cong_7_Ngay'!$B:$B,0)),0),'06_DS_Chinh_Thuc'!$B:$B,0)),"Đang theo dõi"))))</f>
      </c>
    </row>
    <row r="76" ht="14.25" customHeight="1" spans="1:8" x14ac:dyDescent="0.25">
      <c r="A76" s="78">
        <v>71</v>
      </c>
      <c r="B76" s="79">
        <f t="array" ref="B76">IFERROR(INDEX('02_DS_Nhan_Viec'!$B:$B,MATCH(71,'02_DS_Nhan_Viec'!$L:$L,0)),"")</f>
      </c>
      <c r="C76" s="79">
        <f t="array" ref="C76">IFERROR(INDEX('02_DS_Nhan_Viec'!$C:$C,MATCH(71,'02_DS_Nhan_Viec'!$L:$L,0)),"")</f>
      </c>
      <c r="D76" s="80">
        <f t="array" ref="D76">IFERROR(INDEX('02_DS_Nhan_Viec'!$D:$D,MATCH(71,'02_DS_Nhan_Viec'!$L:$L,0)),"")</f>
      </c>
      <c r="E76" s="80">
        <f t="array" ref="E76">IFERROR(INDEX('02_DS_Nhan_Viec'!$E:$E,MATCH(71,'02_DS_Nhan_Viec'!$L:$L,0)),"")</f>
      </c>
      <c r="F76" s="79">
        <f t="array" ref="F76">IFERROR(INDEX('02_DS_Nhan_Viec'!$F:$F,MATCH(71,'02_DS_Nhan_Viec'!$L:$L,0)),"")</f>
      </c>
      <c r="G76" s="79">
        <f t="array" ref="G76">IFERROR(INDEX('02_DS_Nhan_Viec'!$K:$K,MATCH(71,'02_DS_Nhan_Viec'!$L:$L,0)),"")</f>
      </c>
      <c r="H76" s="61">
        <f t="array" ref="H76">IF($B76="","",IF(IFERROR(INDEX('02_DS_Nhan_Viec'!$J:$J,MATCH($B76,'02_DS_Nhan_Viec'!$B:$B,0)),"")="","Đang theo dõi",IF(OR(IFERROR(INDEX('05_Theo_Doi_Gio_Cong_7_Ngay'!$R:$R,MATCH(IFERROR(INDEX('02_DS_Nhan_Viec'!$J:$J,MATCH($B76,'02_DS_Nhan_Viec'!$B:$B,0)),""),'05_Theo_Doi_Gio_Cong_7_Ngay'!$B:$B,0)),"")="",IFERROR(INDEX('05_Theo_Doi_Gio_Cong_7_Ngay'!$R:$R,MATCH(IFERROR(INDEX('02_DS_Nhan_Viec'!$J:$J,MATCH($B76,'02_DS_Nhan_Viec'!$B:$B,0)),""),'05_Theo_Doi_Gio_Cong_7_Ngay'!$B:$B,0)),0)=0),"Đang theo dõi",IFERROR(INDEX('06_DS_Chinh_Thuc'!$K:$K,MATCH(IFERROR(INDEX('05_Theo_Doi_Gio_Cong_7_Ngay'!$R:$R,MATCH(IFERROR(INDEX('02_DS_Nhan_Viec'!$J:$J,MATCH($B76,'02_DS_Nhan_Viec'!$B:$B,0)),""),'05_Theo_Doi_Gio_Cong_7_Ngay'!$B:$B,0)),0),'06_DS_Chinh_Thuc'!$B:$B,0)),"Đang theo dõi"))))</f>
      </c>
    </row>
    <row r="77" ht="14.25" customHeight="1" spans="1:8" x14ac:dyDescent="0.25">
      <c r="A77" s="78">
        <v>72</v>
      </c>
      <c r="B77" s="79">
        <f t="array" ref="B77">IFERROR(INDEX('02_DS_Nhan_Viec'!$B:$B,MATCH(72,'02_DS_Nhan_Viec'!$L:$L,0)),"")</f>
      </c>
      <c r="C77" s="79">
        <f t="array" ref="C77">IFERROR(INDEX('02_DS_Nhan_Viec'!$C:$C,MATCH(72,'02_DS_Nhan_Viec'!$L:$L,0)),"")</f>
      </c>
      <c r="D77" s="80">
        <f t="array" ref="D77">IFERROR(INDEX('02_DS_Nhan_Viec'!$D:$D,MATCH(72,'02_DS_Nhan_Viec'!$L:$L,0)),"")</f>
      </c>
      <c r="E77" s="80">
        <f t="array" ref="E77">IFERROR(INDEX('02_DS_Nhan_Viec'!$E:$E,MATCH(72,'02_DS_Nhan_Viec'!$L:$L,0)),"")</f>
      </c>
      <c r="F77" s="79">
        <f t="array" ref="F77">IFERROR(INDEX('02_DS_Nhan_Viec'!$F:$F,MATCH(72,'02_DS_Nhan_Viec'!$L:$L,0)),"")</f>
      </c>
      <c r="G77" s="79">
        <f t="array" ref="G77">IFERROR(INDEX('02_DS_Nhan_Viec'!$K:$K,MATCH(72,'02_DS_Nhan_Viec'!$L:$L,0)),"")</f>
      </c>
      <c r="H77" s="61">
        <f t="array" ref="H77">IF($B77="","",IF(IFERROR(INDEX('02_DS_Nhan_Viec'!$J:$J,MATCH($B77,'02_DS_Nhan_Viec'!$B:$B,0)),"")="","Đang theo dõi",IF(OR(IFERROR(INDEX('05_Theo_Doi_Gio_Cong_7_Ngay'!$R:$R,MATCH(IFERROR(INDEX('02_DS_Nhan_Viec'!$J:$J,MATCH($B77,'02_DS_Nhan_Viec'!$B:$B,0)),""),'05_Theo_Doi_Gio_Cong_7_Ngay'!$B:$B,0)),"")="",IFERROR(INDEX('05_Theo_Doi_Gio_Cong_7_Ngay'!$R:$R,MATCH(IFERROR(INDEX('02_DS_Nhan_Viec'!$J:$J,MATCH($B77,'02_DS_Nhan_Viec'!$B:$B,0)),""),'05_Theo_Doi_Gio_Cong_7_Ngay'!$B:$B,0)),0)=0),"Đang theo dõi",IFERROR(INDEX('06_DS_Chinh_Thuc'!$K:$K,MATCH(IFERROR(INDEX('05_Theo_Doi_Gio_Cong_7_Ngay'!$R:$R,MATCH(IFERROR(INDEX('02_DS_Nhan_Viec'!$J:$J,MATCH($B77,'02_DS_Nhan_Viec'!$B:$B,0)),""),'05_Theo_Doi_Gio_Cong_7_Ngay'!$B:$B,0)),0),'06_DS_Chinh_Thuc'!$B:$B,0)),"Đang theo dõi"))))</f>
      </c>
    </row>
    <row r="78" ht="14.25" customHeight="1" spans="1:8" x14ac:dyDescent="0.25">
      <c r="A78" s="78">
        <v>73</v>
      </c>
      <c r="B78" s="79">
        <f t="array" ref="B78">IFERROR(INDEX('02_DS_Nhan_Viec'!$B:$B,MATCH(73,'02_DS_Nhan_Viec'!$L:$L,0)),"")</f>
      </c>
      <c r="C78" s="79">
        <f t="array" ref="C78">IFERROR(INDEX('02_DS_Nhan_Viec'!$C:$C,MATCH(73,'02_DS_Nhan_Viec'!$L:$L,0)),"")</f>
      </c>
      <c r="D78" s="80">
        <f t="array" ref="D78">IFERROR(INDEX('02_DS_Nhan_Viec'!$D:$D,MATCH(73,'02_DS_Nhan_Viec'!$L:$L,0)),"")</f>
      </c>
      <c r="E78" s="80">
        <f t="array" ref="E78">IFERROR(INDEX('02_DS_Nhan_Viec'!$E:$E,MATCH(73,'02_DS_Nhan_Viec'!$L:$L,0)),"")</f>
      </c>
      <c r="F78" s="79">
        <f t="array" ref="F78">IFERROR(INDEX('02_DS_Nhan_Viec'!$F:$F,MATCH(73,'02_DS_Nhan_Viec'!$L:$L,0)),"")</f>
      </c>
      <c r="G78" s="79">
        <f t="array" ref="G78">IFERROR(INDEX('02_DS_Nhan_Viec'!$K:$K,MATCH(73,'02_DS_Nhan_Viec'!$L:$L,0)),"")</f>
      </c>
      <c r="H78" s="61">
        <f t="array" ref="H78">IF($B78="","",IF(IFERROR(INDEX('02_DS_Nhan_Viec'!$J:$J,MATCH($B78,'02_DS_Nhan_Viec'!$B:$B,0)),"")="","Đang theo dõi",IF(OR(IFERROR(INDEX('05_Theo_Doi_Gio_Cong_7_Ngay'!$R:$R,MATCH(IFERROR(INDEX('02_DS_Nhan_Viec'!$J:$J,MATCH($B78,'02_DS_Nhan_Viec'!$B:$B,0)),""),'05_Theo_Doi_Gio_Cong_7_Ngay'!$B:$B,0)),"")="",IFERROR(INDEX('05_Theo_Doi_Gio_Cong_7_Ngay'!$R:$R,MATCH(IFERROR(INDEX('02_DS_Nhan_Viec'!$J:$J,MATCH($B78,'02_DS_Nhan_Viec'!$B:$B,0)),""),'05_Theo_Doi_Gio_Cong_7_Ngay'!$B:$B,0)),0)=0),"Đang theo dõi",IFERROR(INDEX('06_DS_Chinh_Thuc'!$K:$K,MATCH(IFERROR(INDEX('05_Theo_Doi_Gio_Cong_7_Ngay'!$R:$R,MATCH(IFERROR(INDEX('02_DS_Nhan_Viec'!$J:$J,MATCH($B78,'02_DS_Nhan_Viec'!$B:$B,0)),""),'05_Theo_Doi_Gio_Cong_7_Ngay'!$B:$B,0)),0),'06_DS_Chinh_Thuc'!$B:$B,0)),"Đang theo dõi"))))</f>
      </c>
    </row>
    <row r="79" ht="14.25" customHeight="1" spans="1:8" x14ac:dyDescent="0.25">
      <c r="A79" s="78">
        <v>74</v>
      </c>
      <c r="B79" s="79">
        <f t="array" ref="B79">IFERROR(INDEX('02_DS_Nhan_Viec'!$B:$B,MATCH(74,'02_DS_Nhan_Viec'!$L:$L,0)),"")</f>
      </c>
      <c r="C79" s="79">
        <f t="array" ref="C79">IFERROR(INDEX('02_DS_Nhan_Viec'!$C:$C,MATCH(74,'02_DS_Nhan_Viec'!$L:$L,0)),"")</f>
      </c>
      <c r="D79" s="80">
        <f t="array" ref="D79">IFERROR(INDEX('02_DS_Nhan_Viec'!$D:$D,MATCH(74,'02_DS_Nhan_Viec'!$L:$L,0)),"")</f>
      </c>
      <c r="E79" s="80">
        <f t="array" ref="E79">IFERROR(INDEX('02_DS_Nhan_Viec'!$E:$E,MATCH(74,'02_DS_Nhan_Viec'!$L:$L,0)),"")</f>
      </c>
      <c r="F79" s="79">
        <f t="array" ref="F79">IFERROR(INDEX('02_DS_Nhan_Viec'!$F:$F,MATCH(74,'02_DS_Nhan_Viec'!$L:$L,0)),"")</f>
      </c>
      <c r="G79" s="79">
        <f t="array" ref="G79">IFERROR(INDEX('02_DS_Nhan_Viec'!$K:$K,MATCH(74,'02_DS_Nhan_Viec'!$L:$L,0)),"")</f>
      </c>
      <c r="H79" s="61">
        <f t="array" ref="H79">IF($B79="","",IF(IFERROR(INDEX('02_DS_Nhan_Viec'!$J:$J,MATCH($B79,'02_DS_Nhan_Viec'!$B:$B,0)),"")="","Đang theo dõi",IF(OR(IFERROR(INDEX('05_Theo_Doi_Gio_Cong_7_Ngay'!$R:$R,MATCH(IFERROR(INDEX('02_DS_Nhan_Viec'!$J:$J,MATCH($B79,'02_DS_Nhan_Viec'!$B:$B,0)),""),'05_Theo_Doi_Gio_Cong_7_Ngay'!$B:$B,0)),"")="",IFERROR(INDEX('05_Theo_Doi_Gio_Cong_7_Ngay'!$R:$R,MATCH(IFERROR(INDEX('02_DS_Nhan_Viec'!$J:$J,MATCH($B79,'02_DS_Nhan_Viec'!$B:$B,0)),""),'05_Theo_Doi_Gio_Cong_7_Ngay'!$B:$B,0)),0)=0),"Đang theo dõi",IFERROR(INDEX('06_DS_Chinh_Thuc'!$K:$K,MATCH(IFERROR(INDEX('05_Theo_Doi_Gio_Cong_7_Ngay'!$R:$R,MATCH(IFERROR(INDEX('02_DS_Nhan_Viec'!$J:$J,MATCH($B79,'02_DS_Nhan_Viec'!$B:$B,0)),""),'05_Theo_Doi_Gio_Cong_7_Ngay'!$B:$B,0)),0),'06_DS_Chinh_Thuc'!$B:$B,0)),"Đang theo dõi"))))</f>
      </c>
    </row>
    <row r="80" ht="14.25" customHeight="1" spans="1:8" x14ac:dyDescent="0.25">
      <c r="A80" s="78">
        <v>75</v>
      </c>
      <c r="B80" s="79">
        <f t="array" ref="B80">IFERROR(INDEX('02_DS_Nhan_Viec'!$B:$B,MATCH(75,'02_DS_Nhan_Viec'!$L:$L,0)),"")</f>
      </c>
      <c r="C80" s="79">
        <f t="array" ref="C80">IFERROR(INDEX('02_DS_Nhan_Viec'!$C:$C,MATCH(75,'02_DS_Nhan_Viec'!$L:$L,0)),"")</f>
      </c>
      <c r="D80" s="80">
        <f t="array" ref="D80">IFERROR(INDEX('02_DS_Nhan_Viec'!$D:$D,MATCH(75,'02_DS_Nhan_Viec'!$L:$L,0)),"")</f>
      </c>
      <c r="E80" s="80">
        <f t="array" ref="E80">IFERROR(INDEX('02_DS_Nhan_Viec'!$E:$E,MATCH(75,'02_DS_Nhan_Viec'!$L:$L,0)),"")</f>
      </c>
      <c r="F80" s="79">
        <f t="array" ref="F80">IFERROR(INDEX('02_DS_Nhan_Viec'!$F:$F,MATCH(75,'02_DS_Nhan_Viec'!$L:$L,0)),"")</f>
      </c>
      <c r="G80" s="79">
        <f t="array" ref="G80">IFERROR(INDEX('02_DS_Nhan_Viec'!$K:$K,MATCH(75,'02_DS_Nhan_Viec'!$L:$L,0)),"")</f>
      </c>
      <c r="H80" s="61">
        <f t="array" ref="H80">IF($B80="","",IF(IFERROR(INDEX('02_DS_Nhan_Viec'!$J:$J,MATCH($B80,'02_DS_Nhan_Viec'!$B:$B,0)),"")="","Đang theo dõi",IF(OR(IFERROR(INDEX('05_Theo_Doi_Gio_Cong_7_Ngay'!$R:$R,MATCH(IFERROR(INDEX('02_DS_Nhan_Viec'!$J:$J,MATCH($B80,'02_DS_Nhan_Viec'!$B:$B,0)),""),'05_Theo_Doi_Gio_Cong_7_Ngay'!$B:$B,0)),"")="",IFERROR(INDEX('05_Theo_Doi_Gio_Cong_7_Ngay'!$R:$R,MATCH(IFERROR(INDEX('02_DS_Nhan_Viec'!$J:$J,MATCH($B80,'02_DS_Nhan_Viec'!$B:$B,0)),""),'05_Theo_Doi_Gio_Cong_7_Ngay'!$B:$B,0)),0)=0),"Đang theo dõi",IFERROR(INDEX('06_DS_Chinh_Thuc'!$K:$K,MATCH(IFERROR(INDEX('05_Theo_Doi_Gio_Cong_7_Ngay'!$R:$R,MATCH(IFERROR(INDEX('02_DS_Nhan_Viec'!$J:$J,MATCH($B80,'02_DS_Nhan_Viec'!$B:$B,0)),""),'05_Theo_Doi_Gio_Cong_7_Ngay'!$B:$B,0)),0),'06_DS_Chinh_Thuc'!$B:$B,0)),"Đang theo dõi"))))</f>
      </c>
    </row>
    <row r="81" ht="14.25" customHeight="1" spans="1:8" x14ac:dyDescent="0.25">
      <c r="A81" s="78">
        <v>76</v>
      </c>
      <c r="B81" s="79">
        <f t="array" ref="B81">IFERROR(INDEX('02_DS_Nhan_Viec'!$B:$B,MATCH(76,'02_DS_Nhan_Viec'!$L:$L,0)),"")</f>
      </c>
      <c r="C81" s="79">
        <f t="array" ref="C81">IFERROR(INDEX('02_DS_Nhan_Viec'!$C:$C,MATCH(76,'02_DS_Nhan_Viec'!$L:$L,0)),"")</f>
      </c>
      <c r="D81" s="80">
        <f t="array" ref="D81">IFERROR(INDEX('02_DS_Nhan_Viec'!$D:$D,MATCH(76,'02_DS_Nhan_Viec'!$L:$L,0)),"")</f>
      </c>
      <c r="E81" s="80">
        <f t="array" ref="E81">IFERROR(INDEX('02_DS_Nhan_Viec'!$E:$E,MATCH(76,'02_DS_Nhan_Viec'!$L:$L,0)),"")</f>
      </c>
      <c r="F81" s="79">
        <f t="array" ref="F81">IFERROR(INDEX('02_DS_Nhan_Viec'!$F:$F,MATCH(76,'02_DS_Nhan_Viec'!$L:$L,0)),"")</f>
      </c>
      <c r="G81" s="79">
        <f t="array" ref="G81">IFERROR(INDEX('02_DS_Nhan_Viec'!$K:$K,MATCH(76,'02_DS_Nhan_Viec'!$L:$L,0)),"")</f>
      </c>
      <c r="H81" s="61">
        <f t="array" ref="H81">IF($B81="","",IF(IFERROR(INDEX('02_DS_Nhan_Viec'!$J:$J,MATCH($B81,'02_DS_Nhan_Viec'!$B:$B,0)),"")="","Đang theo dõi",IF(OR(IFERROR(INDEX('05_Theo_Doi_Gio_Cong_7_Ngay'!$R:$R,MATCH(IFERROR(INDEX('02_DS_Nhan_Viec'!$J:$J,MATCH($B81,'02_DS_Nhan_Viec'!$B:$B,0)),""),'05_Theo_Doi_Gio_Cong_7_Ngay'!$B:$B,0)),"")="",IFERROR(INDEX('05_Theo_Doi_Gio_Cong_7_Ngay'!$R:$R,MATCH(IFERROR(INDEX('02_DS_Nhan_Viec'!$J:$J,MATCH($B81,'02_DS_Nhan_Viec'!$B:$B,0)),""),'05_Theo_Doi_Gio_Cong_7_Ngay'!$B:$B,0)),0)=0),"Đang theo dõi",IFERROR(INDEX('06_DS_Chinh_Thuc'!$K:$K,MATCH(IFERROR(INDEX('05_Theo_Doi_Gio_Cong_7_Ngay'!$R:$R,MATCH(IFERROR(INDEX('02_DS_Nhan_Viec'!$J:$J,MATCH($B81,'02_DS_Nhan_Viec'!$B:$B,0)),""),'05_Theo_Doi_Gio_Cong_7_Ngay'!$B:$B,0)),0),'06_DS_Chinh_Thuc'!$B:$B,0)),"Đang theo dõi"))))</f>
      </c>
    </row>
    <row r="82" ht="14.25" customHeight="1" spans="1:8" x14ac:dyDescent="0.25">
      <c r="A82" s="78">
        <v>77</v>
      </c>
      <c r="B82" s="79">
        <f t="array" ref="B82">IFERROR(INDEX('02_DS_Nhan_Viec'!$B:$B,MATCH(77,'02_DS_Nhan_Viec'!$L:$L,0)),"")</f>
      </c>
      <c r="C82" s="79">
        <f t="array" ref="C82">IFERROR(INDEX('02_DS_Nhan_Viec'!$C:$C,MATCH(77,'02_DS_Nhan_Viec'!$L:$L,0)),"")</f>
      </c>
      <c r="D82" s="80">
        <f t="array" ref="D82">IFERROR(INDEX('02_DS_Nhan_Viec'!$D:$D,MATCH(77,'02_DS_Nhan_Viec'!$L:$L,0)),"")</f>
      </c>
      <c r="E82" s="80">
        <f t="array" ref="E82">IFERROR(INDEX('02_DS_Nhan_Viec'!$E:$E,MATCH(77,'02_DS_Nhan_Viec'!$L:$L,0)),"")</f>
      </c>
      <c r="F82" s="79">
        <f t="array" ref="F82">IFERROR(INDEX('02_DS_Nhan_Viec'!$F:$F,MATCH(77,'02_DS_Nhan_Viec'!$L:$L,0)),"")</f>
      </c>
      <c r="G82" s="79">
        <f t="array" ref="G82">IFERROR(INDEX('02_DS_Nhan_Viec'!$K:$K,MATCH(77,'02_DS_Nhan_Viec'!$L:$L,0)),"")</f>
      </c>
      <c r="H82" s="61">
        <f t="array" ref="H82">IF($B82="","",IF(IFERROR(INDEX('02_DS_Nhan_Viec'!$J:$J,MATCH($B82,'02_DS_Nhan_Viec'!$B:$B,0)),"")="","Đang theo dõi",IF(OR(IFERROR(INDEX('05_Theo_Doi_Gio_Cong_7_Ngay'!$R:$R,MATCH(IFERROR(INDEX('02_DS_Nhan_Viec'!$J:$J,MATCH($B82,'02_DS_Nhan_Viec'!$B:$B,0)),""),'05_Theo_Doi_Gio_Cong_7_Ngay'!$B:$B,0)),"")="",IFERROR(INDEX('05_Theo_Doi_Gio_Cong_7_Ngay'!$R:$R,MATCH(IFERROR(INDEX('02_DS_Nhan_Viec'!$J:$J,MATCH($B82,'02_DS_Nhan_Viec'!$B:$B,0)),""),'05_Theo_Doi_Gio_Cong_7_Ngay'!$B:$B,0)),0)=0),"Đang theo dõi",IFERROR(INDEX('06_DS_Chinh_Thuc'!$K:$K,MATCH(IFERROR(INDEX('05_Theo_Doi_Gio_Cong_7_Ngay'!$R:$R,MATCH(IFERROR(INDEX('02_DS_Nhan_Viec'!$J:$J,MATCH($B82,'02_DS_Nhan_Viec'!$B:$B,0)),""),'05_Theo_Doi_Gio_Cong_7_Ngay'!$B:$B,0)),0),'06_DS_Chinh_Thuc'!$B:$B,0)),"Đang theo dõi"))))</f>
      </c>
    </row>
    <row r="83" ht="14.25" customHeight="1" spans="1:8" x14ac:dyDescent="0.25">
      <c r="A83" s="78">
        <v>78</v>
      </c>
      <c r="B83" s="79">
        <f t="array" ref="B83">IFERROR(INDEX('02_DS_Nhan_Viec'!$B:$B,MATCH(78,'02_DS_Nhan_Viec'!$L:$L,0)),"")</f>
      </c>
      <c r="C83" s="79">
        <f t="array" ref="C83">IFERROR(INDEX('02_DS_Nhan_Viec'!$C:$C,MATCH(78,'02_DS_Nhan_Viec'!$L:$L,0)),"")</f>
      </c>
      <c r="D83" s="80">
        <f t="array" ref="D83">IFERROR(INDEX('02_DS_Nhan_Viec'!$D:$D,MATCH(78,'02_DS_Nhan_Viec'!$L:$L,0)),"")</f>
      </c>
      <c r="E83" s="80">
        <f t="array" ref="E83">IFERROR(INDEX('02_DS_Nhan_Viec'!$E:$E,MATCH(78,'02_DS_Nhan_Viec'!$L:$L,0)),"")</f>
      </c>
      <c r="F83" s="79">
        <f t="array" ref="F83">IFERROR(INDEX('02_DS_Nhan_Viec'!$F:$F,MATCH(78,'02_DS_Nhan_Viec'!$L:$L,0)),"")</f>
      </c>
      <c r="G83" s="79">
        <f t="array" ref="G83">IFERROR(INDEX('02_DS_Nhan_Viec'!$K:$K,MATCH(78,'02_DS_Nhan_Viec'!$L:$L,0)),"")</f>
      </c>
      <c r="H83" s="61">
        <f t="array" ref="H83">IF($B83="","",IF(IFERROR(INDEX('02_DS_Nhan_Viec'!$J:$J,MATCH($B83,'02_DS_Nhan_Viec'!$B:$B,0)),"")="","Đang theo dõi",IF(OR(IFERROR(INDEX('05_Theo_Doi_Gio_Cong_7_Ngay'!$R:$R,MATCH(IFERROR(INDEX('02_DS_Nhan_Viec'!$J:$J,MATCH($B83,'02_DS_Nhan_Viec'!$B:$B,0)),""),'05_Theo_Doi_Gio_Cong_7_Ngay'!$B:$B,0)),"")="",IFERROR(INDEX('05_Theo_Doi_Gio_Cong_7_Ngay'!$R:$R,MATCH(IFERROR(INDEX('02_DS_Nhan_Viec'!$J:$J,MATCH($B83,'02_DS_Nhan_Viec'!$B:$B,0)),""),'05_Theo_Doi_Gio_Cong_7_Ngay'!$B:$B,0)),0)=0),"Đang theo dõi",IFERROR(INDEX('06_DS_Chinh_Thuc'!$K:$K,MATCH(IFERROR(INDEX('05_Theo_Doi_Gio_Cong_7_Ngay'!$R:$R,MATCH(IFERROR(INDEX('02_DS_Nhan_Viec'!$J:$J,MATCH($B83,'02_DS_Nhan_Viec'!$B:$B,0)),""),'05_Theo_Doi_Gio_Cong_7_Ngay'!$B:$B,0)),0),'06_DS_Chinh_Thuc'!$B:$B,0)),"Đang theo dõi"))))</f>
      </c>
    </row>
    <row r="84" ht="14.25" customHeight="1" spans="1:8" x14ac:dyDescent="0.25">
      <c r="A84" s="78">
        <v>79</v>
      </c>
      <c r="B84" s="79">
        <f t="array" ref="B84">IFERROR(INDEX('02_DS_Nhan_Viec'!$B:$B,MATCH(79,'02_DS_Nhan_Viec'!$L:$L,0)),"")</f>
      </c>
      <c r="C84" s="79">
        <f t="array" ref="C84">IFERROR(INDEX('02_DS_Nhan_Viec'!$C:$C,MATCH(79,'02_DS_Nhan_Viec'!$L:$L,0)),"")</f>
      </c>
      <c r="D84" s="80">
        <f t="array" ref="D84">IFERROR(INDEX('02_DS_Nhan_Viec'!$D:$D,MATCH(79,'02_DS_Nhan_Viec'!$L:$L,0)),"")</f>
      </c>
      <c r="E84" s="80">
        <f t="array" ref="E84">IFERROR(INDEX('02_DS_Nhan_Viec'!$E:$E,MATCH(79,'02_DS_Nhan_Viec'!$L:$L,0)),"")</f>
      </c>
      <c r="F84" s="79">
        <f t="array" ref="F84">IFERROR(INDEX('02_DS_Nhan_Viec'!$F:$F,MATCH(79,'02_DS_Nhan_Viec'!$L:$L,0)),"")</f>
      </c>
      <c r="G84" s="79">
        <f t="array" ref="G84">IFERROR(INDEX('02_DS_Nhan_Viec'!$K:$K,MATCH(79,'02_DS_Nhan_Viec'!$L:$L,0)),"")</f>
      </c>
      <c r="H84" s="61">
        <f t="array" ref="H84">IF($B84="","",IF(IFERROR(INDEX('02_DS_Nhan_Viec'!$J:$J,MATCH($B84,'02_DS_Nhan_Viec'!$B:$B,0)),"")="","Đang theo dõi",IF(OR(IFERROR(INDEX('05_Theo_Doi_Gio_Cong_7_Ngay'!$R:$R,MATCH(IFERROR(INDEX('02_DS_Nhan_Viec'!$J:$J,MATCH($B84,'02_DS_Nhan_Viec'!$B:$B,0)),""),'05_Theo_Doi_Gio_Cong_7_Ngay'!$B:$B,0)),"")="",IFERROR(INDEX('05_Theo_Doi_Gio_Cong_7_Ngay'!$R:$R,MATCH(IFERROR(INDEX('02_DS_Nhan_Viec'!$J:$J,MATCH($B84,'02_DS_Nhan_Viec'!$B:$B,0)),""),'05_Theo_Doi_Gio_Cong_7_Ngay'!$B:$B,0)),0)=0),"Đang theo dõi",IFERROR(INDEX('06_DS_Chinh_Thuc'!$K:$K,MATCH(IFERROR(INDEX('05_Theo_Doi_Gio_Cong_7_Ngay'!$R:$R,MATCH(IFERROR(INDEX('02_DS_Nhan_Viec'!$J:$J,MATCH($B84,'02_DS_Nhan_Viec'!$B:$B,0)),""),'05_Theo_Doi_Gio_Cong_7_Ngay'!$B:$B,0)),0),'06_DS_Chinh_Thuc'!$B:$B,0)),"Đang theo dõi"))))</f>
      </c>
    </row>
    <row r="85" ht="14.25" customHeight="1" spans="1:8" x14ac:dyDescent="0.25">
      <c r="A85" s="78">
        <v>80</v>
      </c>
      <c r="B85" s="79">
        <f t="array" ref="B85">IFERROR(INDEX('02_DS_Nhan_Viec'!$B:$B,MATCH(80,'02_DS_Nhan_Viec'!$L:$L,0)),"")</f>
      </c>
      <c r="C85" s="79">
        <f t="array" ref="C85">IFERROR(INDEX('02_DS_Nhan_Viec'!$C:$C,MATCH(80,'02_DS_Nhan_Viec'!$L:$L,0)),"")</f>
      </c>
      <c r="D85" s="80">
        <f t="array" ref="D85">IFERROR(INDEX('02_DS_Nhan_Viec'!$D:$D,MATCH(80,'02_DS_Nhan_Viec'!$L:$L,0)),"")</f>
      </c>
      <c r="E85" s="80">
        <f t="array" ref="E85">IFERROR(INDEX('02_DS_Nhan_Viec'!$E:$E,MATCH(80,'02_DS_Nhan_Viec'!$L:$L,0)),"")</f>
      </c>
      <c r="F85" s="79">
        <f t="array" ref="F85">IFERROR(INDEX('02_DS_Nhan_Viec'!$F:$F,MATCH(80,'02_DS_Nhan_Viec'!$L:$L,0)),"")</f>
      </c>
      <c r="G85" s="79">
        <f t="array" ref="G85">IFERROR(INDEX('02_DS_Nhan_Viec'!$K:$K,MATCH(80,'02_DS_Nhan_Viec'!$L:$L,0)),"")</f>
      </c>
      <c r="H85" s="61">
        <f t="array" ref="H85">IF($B85="","",IF(IFERROR(INDEX('02_DS_Nhan_Viec'!$J:$J,MATCH($B85,'02_DS_Nhan_Viec'!$B:$B,0)),"")="","Đang theo dõi",IF(OR(IFERROR(INDEX('05_Theo_Doi_Gio_Cong_7_Ngay'!$R:$R,MATCH(IFERROR(INDEX('02_DS_Nhan_Viec'!$J:$J,MATCH($B85,'02_DS_Nhan_Viec'!$B:$B,0)),""),'05_Theo_Doi_Gio_Cong_7_Ngay'!$B:$B,0)),"")="",IFERROR(INDEX('05_Theo_Doi_Gio_Cong_7_Ngay'!$R:$R,MATCH(IFERROR(INDEX('02_DS_Nhan_Viec'!$J:$J,MATCH($B85,'02_DS_Nhan_Viec'!$B:$B,0)),""),'05_Theo_Doi_Gio_Cong_7_Ngay'!$B:$B,0)),0)=0),"Đang theo dõi",IFERROR(INDEX('06_DS_Chinh_Thuc'!$K:$K,MATCH(IFERROR(INDEX('05_Theo_Doi_Gio_Cong_7_Ngay'!$R:$R,MATCH(IFERROR(INDEX('02_DS_Nhan_Viec'!$J:$J,MATCH($B85,'02_DS_Nhan_Viec'!$B:$B,0)),""),'05_Theo_Doi_Gio_Cong_7_Ngay'!$B:$B,0)),0),'06_DS_Chinh_Thuc'!$B:$B,0)),"Đang theo dõi"))))</f>
      </c>
    </row>
    <row r="86" ht="14.25" customHeight="1" spans="1:8" x14ac:dyDescent="0.25">
      <c r="A86" s="78">
        <v>81</v>
      </c>
      <c r="B86" s="79">
        <f t="array" ref="B86">IFERROR(INDEX('02_DS_Nhan_Viec'!$B:$B,MATCH(81,'02_DS_Nhan_Viec'!$L:$L,0)),"")</f>
      </c>
      <c r="C86" s="79">
        <f t="array" ref="C86">IFERROR(INDEX('02_DS_Nhan_Viec'!$C:$C,MATCH(81,'02_DS_Nhan_Viec'!$L:$L,0)),"")</f>
      </c>
      <c r="D86" s="80">
        <f t="array" ref="D86">IFERROR(INDEX('02_DS_Nhan_Viec'!$D:$D,MATCH(81,'02_DS_Nhan_Viec'!$L:$L,0)),"")</f>
      </c>
      <c r="E86" s="80">
        <f t="array" ref="E86">IFERROR(INDEX('02_DS_Nhan_Viec'!$E:$E,MATCH(81,'02_DS_Nhan_Viec'!$L:$L,0)),"")</f>
      </c>
      <c r="F86" s="79">
        <f t="array" ref="F86">IFERROR(INDEX('02_DS_Nhan_Viec'!$F:$F,MATCH(81,'02_DS_Nhan_Viec'!$L:$L,0)),"")</f>
      </c>
      <c r="G86" s="79">
        <f t="array" ref="G86">IFERROR(INDEX('02_DS_Nhan_Viec'!$K:$K,MATCH(81,'02_DS_Nhan_Viec'!$L:$L,0)),"")</f>
      </c>
      <c r="H86" s="61">
        <f t="array" ref="H86">IF($B86="","",IF(IFERROR(INDEX('02_DS_Nhan_Viec'!$J:$J,MATCH($B86,'02_DS_Nhan_Viec'!$B:$B,0)),"")="","Đang theo dõi",IF(OR(IFERROR(INDEX('05_Theo_Doi_Gio_Cong_7_Ngay'!$R:$R,MATCH(IFERROR(INDEX('02_DS_Nhan_Viec'!$J:$J,MATCH($B86,'02_DS_Nhan_Viec'!$B:$B,0)),""),'05_Theo_Doi_Gio_Cong_7_Ngay'!$B:$B,0)),"")="",IFERROR(INDEX('05_Theo_Doi_Gio_Cong_7_Ngay'!$R:$R,MATCH(IFERROR(INDEX('02_DS_Nhan_Viec'!$J:$J,MATCH($B86,'02_DS_Nhan_Viec'!$B:$B,0)),""),'05_Theo_Doi_Gio_Cong_7_Ngay'!$B:$B,0)),0)=0),"Đang theo dõi",IFERROR(INDEX('06_DS_Chinh_Thuc'!$K:$K,MATCH(IFERROR(INDEX('05_Theo_Doi_Gio_Cong_7_Ngay'!$R:$R,MATCH(IFERROR(INDEX('02_DS_Nhan_Viec'!$J:$J,MATCH($B86,'02_DS_Nhan_Viec'!$B:$B,0)),""),'05_Theo_Doi_Gio_Cong_7_Ngay'!$B:$B,0)),0),'06_DS_Chinh_Thuc'!$B:$B,0)),"Đang theo dõi"))))</f>
      </c>
    </row>
    <row r="87" ht="14.25" customHeight="1" spans="1:8" x14ac:dyDescent="0.25">
      <c r="A87" s="78">
        <v>82</v>
      </c>
      <c r="B87" s="79">
        <f t="array" ref="B87">IFERROR(INDEX('02_DS_Nhan_Viec'!$B:$B,MATCH(82,'02_DS_Nhan_Viec'!$L:$L,0)),"")</f>
      </c>
      <c r="C87" s="79">
        <f t="array" ref="C87">IFERROR(INDEX('02_DS_Nhan_Viec'!$C:$C,MATCH(82,'02_DS_Nhan_Viec'!$L:$L,0)),"")</f>
      </c>
      <c r="D87" s="80">
        <f t="array" ref="D87">IFERROR(INDEX('02_DS_Nhan_Viec'!$D:$D,MATCH(82,'02_DS_Nhan_Viec'!$L:$L,0)),"")</f>
      </c>
      <c r="E87" s="80">
        <f t="array" ref="E87">IFERROR(INDEX('02_DS_Nhan_Viec'!$E:$E,MATCH(82,'02_DS_Nhan_Viec'!$L:$L,0)),"")</f>
      </c>
      <c r="F87" s="79">
        <f t="array" ref="F87">IFERROR(INDEX('02_DS_Nhan_Viec'!$F:$F,MATCH(82,'02_DS_Nhan_Viec'!$L:$L,0)),"")</f>
      </c>
      <c r="G87" s="79">
        <f t="array" ref="G87">IFERROR(INDEX('02_DS_Nhan_Viec'!$K:$K,MATCH(82,'02_DS_Nhan_Viec'!$L:$L,0)),"")</f>
      </c>
      <c r="H87" s="61">
        <f t="array" ref="H87">IF($B87="","",IF(IFERROR(INDEX('02_DS_Nhan_Viec'!$J:$J,MATCH($B87,'02_DS_Nhan_Viec'!$B:$B,0)),"")="","Đang theo dõi",IF(OR(IFERROR(INDEX('05_Theo_Doi_Gio_Cong_7_Ngay'!$R:$R,MATCH(IFERROR(INDEX('02_DS_Nhan_Viec'!$J:$J,MATCH($B87,'02_DS_Nhan_Viec'!$B:$B,0)),""),'05_Theo_Doi_Gio_Cong_7_Ngay'!$B:$B,0)),"")="",IFERROR(INDEX('05_Theo_Doi_Gio_Cong_7_Ngay'!$R:$R,MATCH(IFERROR(INDEX('02_DS_Nhan_Viec'!$J:$J,MATCH($B87,'02_DS_Nhan_Viec'!$B:$B,0)),""),'05_Theo_Doi_Gio_Cong_7_Ngay'!$B:$B,0)),0)=0),"Đang theo dõi",IFERROR(INDEX('06_DS_Chinh_Thuc'!$K:$K,MATCH(IFERROR(INDEX('05_Theo_Doi_Gio_Cong_7_Ngay'!$R:$R,MATCH(IFERROR(INDEX('02_DS_Nhan_Viec'!$J:$J,MATCH($B87,'02_DS_Nhan_Viec'!$B:$B,0)),""),'05_Theo_Doi_Gio_Cong_7_Ngay'!$B:$B,0)),0),'06_DS_Chinh_Thuc'!$B:$B,0)),"Đang theo dõi"))))</f>
      </c>
    </row>
    <row r="88" ht="14.25" customHeight="1" spans="1:8" x14ac:dyDescent="0.25">
      <c r="A88" s="78">
        <v>83</v>
      </c>
      <c r="B88" s="79">
        <f t="array" ref="B88">IFERROR(INDEX('02_DS_Nhan_Viec'!$B:$B,MATCH(83,'02_DS_Nhan_Viec'!$L:$L,0)),"")</f>
      </c>
      <c r="C88" s="79">
        <f t="array" ref="C88">IFERROR(INDEX('02_DS_Nhan_Viec'!$C:$C,MATCH(83,'02_DS_Nhan_Viec'!$L:$L,0)),"")</f>
      </c>
      <c r="D88" s="80">
        <f t="array" ref="D88">IFERROR(INDEX('02_DS_Nhan_Viec'!$D:$D,MATCH(83,'02_DS_Nhan_Viec'!$L:$L,0)),"")</f>
      </c>
      <c r="E88" s="80">
        <f t="array" ref="E88">IFERROR(INDEX('02_DS_Nhan_Viec'!$E:$E,MATCH(83,'02_DS_Nhan_Viec'!$L:$L,0)),"")</f>
      </c>
      <c r="F88" s="79">
        <f t="array" ref="F88">IFERROR(INDEX('02_DS_Nhan_Viec'!$F:$F,MATCH(83,'02_DS_Nhan_Viec'!$L:$L,0)),"")</f>
      </c>
      <c r="G88" s="79">
        <f t="array" ref="G88">IFERROR(INDEX('02_DS_Nhan_Viec'!$K:$K,MATCH(83,'02_DS_Nhan_Viec'!$L:$L,0)),"")</f>
      </c>
      <c r="H88" s="61">
        <f t="array" ref="H88">IF($B88="","",IF(IFERROR(INDEX('02_DS_Nhan_Viec'!$J:$J,MATCH($B88,'02_DS_Nhan_Viec'!$B:$B,0)),"")="","Đang theo dõi",IF(OR(IFERROR(INDEX('05_Theo_Doi_Gio_Cong_7_Ngay'!$R:$R,MATCH(IFERROR(INDEX('02_DS_Nhan_Viec'!$J:$J,MATCH($B88,'02_DS_Nhan_Viec'!$B:$B,0)),""),'05_Theo_Doi_Gio_Cong_7_Ngay'!$B:$B,0)),"")="",IFERROR(INDEX('05_Theo_Doi_Gio_Cong_7_Ngay'!$R:$R,MATCH(IFERROR(INDEX('02_DS_Nhan_Viec'!$J:$J,MATCH($B88,'02_DS_Nhan_Viec'!$B:$B,0)),""),'05_Theo_Doi_Gio_Cong_7_Ngay'!$B:$B,0)),0)=0),"Đang theo dõi",IFERROR(INDEX('06_DS_Chinh_Thuc'!$K:$K,MATCH(IFERROR(INDEX('05_Theo_Doi_Gio_Cong_7_Ngay'!$R:$R,MATCH(IFERROR(INDEX('02_DS_Nhan_Viec'!$J:$J,MATCH($B88,'02_DS_Nhan_Viec'!$B:$B,0)),""),'05_Theo_Doi_Gio_Cong_7_Ngay'!$B:$B,0)),0),'06_DS_Chinh_Thuc'!$B:$B,0)),"Đang theo dõi"))))</f>
      </c>
    </row>
    <row r="89" ht="14.25" customHeight="1" spans="1:8" x14ac:dyDescent="0.25">
      <c r="A89" s="78">
        <v>84</v>
      </c>
      <c r="B89" s="79">
        <f t="array" ref="B89">IFERROR(INDEX('02_DS_Nhan_Viec'!$B:$B,MATCH(84,'02_DS_Nhan_Viec'!$L:$L,0)),"")</f>
      </c>
      <c r="C89" s="79">
        <f t="array" ref="C89">IFERROR(INDEX('02_DS_Nhan_Viec'!$C:$C,MATCH(84,'02_DS_Nhan_Viec'!$L:$L,0)),"")</f>
      </c>
      <c r="D89" s="80">
        <f t="array" ref="D89">IFERROR(INDEX('02_DS_Nhan_Viec'!$D:$D,MATCH(84,'02_DS_Nhan_Viec'!$L:$L,0)),"")</f>
      </c>
      <c r="E89" s="80">
        <f t="array" ref="E89">IFERROR(INDEX('02_DS_Nhan_Viec'!$E:$E,MATCH(84,'02_DS_Nhan_Viec'!$L:$L,0)),"")</f>
      </c>
      <c r="F89" s="79">
        <f t="array" ref="F89">IFERROR(INDEX('02_DS_Nhan_Viec'!$F:$F,MATCH(84,'02_DS_Nhan_Viec'!$L:$L,0)),"")</f>
      </c>
      <c r="G89" s="79">
        <f t="array" ref="G89">IFERROR(INDEX('02_DS_Nhan_Viec'!$K:$K,MATCH(84,'02_DS_Nhan_Viec'!$L:$L,0)),"")</f>
      </c>
      <c r="H89" s="61">
        <f t="array" ref="H89">IF($B89="","",IF(IFERROR(INDEX('02_DS_Nhan_Viec'!$J:$J,MATCH($B89,'02_DS_Nhan_Viec'!$B:$B,0)),"")="","Đang theo dõi",IF(OR(IFERROR(INDEX('05_Theo_Doi_Gio_Cong_7_Ngay'!$R:$R,MATCH(IFERROR(INDEX('02_DS_Nhan_Viec'!$J:$J,MATCH($B89,'02_DS_Nhan_Viec'!$B:$B,0)),""),'05_Theo_Doi_Gio_Cong_7_Ngay'!$B:$B,0)),"")="",IFERROR(INDEX('05_Theo_Doi_Gio_Cong_7_Ngay'!$R:$R,MATCH(IFERROR(INDEX('02_DS_Nhan_Viec'!$J:$J,MATCH($B89,'02_DS_Nhan_Viec'!$B:$B,0)),""),'05_Theo_Doi_Gio_Cong_7_Ngay'!$B:$B,0)),0)=0),"Đang theo dõi",IFERROR(INDEX('06_DS_Chinh_Thuc'!$K:$K,MATCH(IFERROR(INDEX('05_Theo_Doi_Gio_Cong_7_Ngay'!$R:$R,MATCH(IFERROR(INDEX('02_DS_Nhan_Viec'!$J:$J,MATCH($B89,'02_DS_Nhan_Viec'!$B:$B,0)),""),'05_Theo_Doi_Gio_Cong_7_Ngay'!$B:$B,0)),0),'06_DS_Chinh_Thuc'!$B:$B,0)),"Đang theo dõi"))))</f>
      </c>
    </row>
    <row r="90" ht="14.25" customHeight="1" spans="1:8" x14ac:dyDescent="0.25">
      <c r="A90" s="78">
        <v>85</v>
      </c>
      <c r="B90" s="79">
        <f t="array" ref="B90">IFERROR(INDEX('02_DS_Nhan_Viec'!$B:$B,MATCH(85,'02_DS_Nhan_Viec'!$L:$L,0)),"")</f>
      </c>
      <c r="C90" s="79">
        <f t="array" ref="C90">IFERROR(INDEX('02_DS_Nhan_Viec'!$C:$C,MATCH(85,'02_DS_Nhan_Viec'!$L:$L,0)),"")</f>
      </c>
      <c r="D90" s="80">
        <f t="array" ref="D90">IFERROR(INDEX('02_DS_Nhan_Viec'!$D:$D,MATCH(85,'02_DS_Nhan_Viec'!$L:$L,0)),"")</f>
      </c>
      <c r="E90" s="80">
        <f t="array" ref="E90">IFERROR(INDEX('02_DS_Nhan_Viec'!$E:$E,MATCH(85,'02_DS_Nhan_Viec'!$L:$L,0)),"")</f>
      </c>
      <c r="F90" s="79">
        <f t="array" ref="F90">IFERROR(INDEX('02_DS_Nhan_Viec'!$F:$F,MATCH(85,'02_DS_Nhan_Viec'!$L:$L,0)),"")</f>
      </c>
      <c r="G90" s="79">
        <f t="array" ref="G90">IFERROR(INDEX('02_DS_Nhan_Viec'!$K:$K,MATCH(85,'02_DS_Nhan_Viec'!$L:$L,0)),"")</f>
      </c>
      <c r="H90" s="61">
        <f t="array" ref="H90">IF($B90="","",IF(IFERROR(INDEX('02_DS_Nhan_Viec'!$J:$J,MATCH($B90,'02_DS_Nhan_Viec'!$B:$B,0)),"")="","Đang theo dõi",IF(OR(IFERROR(INDEX('05_Theo_Doi_Gio_Cong_7_Ngay'!$R:$R,MATCH(IFERROR(INDEX('02_DS_Nhan_Viec'!$J:$J,MATCH($B90,'02_DS_Nhan_Viec'!$B:$B,0)),""),'05_Theo_Doi_Gio_Cong_7_Ngay'!$B:$B,0)),"")="",IFERROR(INDEX('05_Theo_Doi_Gio_Cong_7_Ngay'!$R:$R,MATCH(IFERROR(INDEX('02_DS_Nhan_Viec'!$J:$J,MATCH($B90,'02_DS_Nhan_Viec'!$B:$B,0)),""),'05_Theo_Doi_Gio_Cong_7_Ngay'!$B:$B,0)),0)=0),"Đang theo dõi",IFERROR(INDEX('06_DS_Chinh_Thuc'!$K:$K,MATCH(IFERROR(INDEX('05_Theo_Doi_Gio_Cong_7_Ngay'!$R:$R,MATCH(IFERROR(INDEX('02_DS_Nhan_Viec'!$J:$J,MATCH($B90,'02_DS_Nhan_Viec'!$B:$B,0)),""),'05_Theo_Doi_Gio_Cong_7_Ngay'!$B:$B,0)),0),'06_DS_Chinh_Thuc'!$B:$B,0)),"Đang theo dõi"))))</f>
      </c>
    </row>
    <row r="91" ht="14.25" customHeight="1" spans="1:8" x14ac:dyDescent="0.25">
      <c r="A91" s="78">
        <v>86</v>
      </c>
      <c r="B91" s="79">
        <f t="array" ref="B91">IFERROR(INDEX('02_DS_Nhan_Viec'!$B:$B,MATCH(86,'02_DS_Nhan_Viec'!$L:$L,0)),"")</f>
      </c>
      <c r="C91" s="79">
        <f t="array" ref="C91">IFERROR(INDEX('02_DS_Nhan_Viec'!$C:$C,MATCH(86,'02_DS_Nhan_Viec'!$L:$L,0)),"")</f>
      </c>
      <c r="D91" s="80">
        <f t="array" ref="D91">IFERROR(INDEX('02_DS_Nhan_Viec'!$D:$D,MATCH(86,'02_DS_Nhan_Viec'!$L:$L,0)),"")</f>
      </c>
      <c r="E91" s="80">
        <f t="array" ref="E91">IFERROR(INDEX('02_DS_Nhan_Viec'!$E:$E,MATCH(86,'02_DS_Nhan_Viec'!$L:$L,0)),"")</f>
      </c>
      <c r="F91" s="79">
        <f t="array" ref="F91">IFERROR(INDEX('02_DS_Nhan_Viec'!$F:$F,MATCH(86,'02_DS_Nhan_Viec'!$L:$L,0)),"")</f>
      </c>
      <c r="G91" s="79">
        <f t="array" ref="G91">IFERROR(INDEX('02_DS_Nhan_Viec'!$K:$K,MATCH(86,'02_DS_Nhan_Viec'!$L:$L,0)),"")</f>
      </c>
      <c r="H91" s="61">
        <f t="array" ref="H91">IF($B91="","",IF(IFERROR(INDEX('02_DS_Nhan_Viec'!$J:$J,MATCH($B91,'02_DS_Nhan_Viec'!$B:$B,0)),"")="","Đang theo dõi",IF(OR(IFERROR(INDEX('05_Theo_Doi_Gio_Cong_7_Ngay'!$R:$R,MATCH(IFERROR(INDEX('02_DS_Nhan_Viec'!$J:$J,MATCH($B91,'02_DS_Nhan_Viec'!$B:$B,0)),""),'05_Theo_Doi_Gio_Cong_7_Ngay'!$B:$B,0)),"")="",IFERROR(INDEX('05_Theo_Doi_Gio_Cong_7_Ngay'!$R:$R,MATCH(IFERROR(INDEX('02_DS_Nhan_Viec'!$J:$J,MATCH($B91,'02_DS_Nhan_Viec'!$B:$B,0)),""),'05_Theo_Doi_Gio_Cong_7_Ngay'!$B:$B,0)),0)=0),"Đang theo dõi",IFERROR(INDEX('06_DS_Chinh_Thuc'!$K:$K,MATCH(IFERROR(INDEX('05_Theo_Doi_Gio_Cong_7_Ngay'!$R:$R,MATCH(IFERROR(INDEX('02_DS_Nhan_Viec'!$J:$J,MATCH($B91,'02_DS_Nhan_Viec'!$B:$B,0)),""),'05_Theo_Doi_Gio_Cong_7_Ngay'!$B:$B,0)),0),'06_DS_Chinh_Thuc'!$B:$B,0)),"Đang theo dõi"))))</f>
      </c>
    </row>
    <row r="92" ht="14.25" customHeight="1" spans="1:8" x14ac:dyDescent="0.25">
      <c r="A92" s="78">
        <v>87</v>
      </c>
      <c r="B92" s="79">
        <f t="array" ref="B92">IFERROR(INDEX('02_DS_Nhan_Viec'!$B:$B,MATCH(87,'02_DS_Nhan_Viec'!$L:$L,0)),"")</f>
      </c>
      <c r="C92" s="79">
        <f t="array" ref="C92">IFERROR(INDEX('02_DS_Nhan_Viec'!$C:$C,MATCH(87,'02_DS_Nhan_Viec'!$L:$L,0)),"")</f>
      </c>
      <c r="D92" s="80">
        <f t="array" ref="D92">IFERROR(INDEX('02_DS_Nhan_Viec'!$D:$D,MATCH(87,'02_DS_Nhan_Viec'!$L:$L,0)),"")</f>
      </c>
      <c r="E92" s="80">
        <f t="array" ref="E92">IFERROR(INDEX('02_DS_Nhan_Viec'!$E:$E,MATCH(87,'02_DS_Nhan_Viec'!$L:$L,0)),"")</f>
      </c>
      <c r="F92" s="79">
        <f t="array" ref="F92">IFERROR(INDEX('02_DS_Nhan_Viec'!$F:$F,MATCH(87,'02_DS_Nhan_Viec'!$L:$L,0)),"")</f>
      </c>
      <c r="G92" s="79">
        <f t="array" ref="G92">IFERROR(INDEX('02_DS_Nhan_Viec'!$K:$K,MATCH(87,'02_DS_Nhan_Viec'!$L:$L,0)),"")</f>
      </c>
      <c r="H92" s="61">
        <f t="array" ref="H92">IF($B92="","",IF(IFERROR(INDEX('02_DS_Nhan_Viec'!$J:$J,MATCH($B92,'02_DS_Nhan_Viec'!$B:$B,0)),"")="","Đang theo dõi",IF(OR(IFERROR(INDEX('05_Theo_Doi_Gio_Cong_7_Ngay'!$R:$R,MATCH(IFERROR(INDEX('02_DS_Nhan_Viec'!$J:$J,MATCH($B92,'02_DS_Nhan_Viec'!$B:$B,0)),""),'05_Theo_Doi_Gio_Cong_7_Ngay'!$B:$B,0)),"")="",IFERROR(INDEX('05_Theo_Doi_Gio_Cong_7_Ngay'!$R:$R,MATCH(IFERROR(INDEX('02_DS_Nhan_Viec'!$J:$J,MATCH($B92,'02_DS_Nhan_Viec'!$B:$B,0)),""),'05_Theo_Doi_Gio_Cong_7_Ngay'!$B:$B,0)),0)=0),"Đang theo dõi",IFERROR(INDEX('06_DS_Chinh_Thuc'!$K:$K,MATCH(IFERROR(INDEX('05_Theo_Doi_Gio_Cong_7_Ngay'!$R:$R,MATCH(IFERROR(INDEX('02_DS_Nhan_Viec'!$J:$J,MATCH($B92,'02_DS_Nhan_Viec'!$B:$B,0)),""),'05_Theo_Doi_Gio_Cong_7_Ngay'!$B:$B,0)),0),'06_DS_Chinh_Thuc'!$B:$B,0)),"Đang theo dõi"))))</f>
      </c>
    </row>
    <row r="93" ht="14.25" customHeight="1" spans="1:8" x14ac:dyDescent="0.25">
      <c r="A93" s="78">
        <v>88</v>
      </c>
      <c r="B93" s="79">
        <f t="array" ref="B93">IFERROR(INDEX('02_DS_Nhan_Viec'!$B:$B,MATCH(88,'02_DS_Nhan_Viec'!$L:$L,0)),"")</f>
      </c>
      <c r="C93" s="79">
        <f t="array" ref="C93">IFERROR(INDEX('02_DS_Nhan_Viec'!$C:$C,MATCH(88,'02_DS_Nhan_Viec'!$L:$L,0)),"")</f>
      </c>
      <c r="D93" s="80">
        <f t="array" ref="D93">IFERROR(INDEX('02_DS_Nhan_Viec'!$D:$D,MATCH(88,'02_DS_Nhan_Viec'!$L:$L,0)),"")</f>
      </c>
      <c r="E93" s="80">
        <f t="array" ref="E93">IFERROR(INDEX('02_DS_Nhan_Viec'!$E:$E,MATCH(88,'02_DS_Nhan_Viec'!$L:$L,0)),"")</f>
      </c>
      <c r="F93" s="79">
        <f t="array" ref="F93">IFERROR(INDEX('02_DS_Nhan_Viec'!$F:$F,MATCH(88,'02_DS_Nhan_Viec'!$L:$L,0)),"")</f>
      </c>
      <c r="G93" s="79">
        <f t="array" ref="G93">IFERROR(INDEX('02_DS_Nhan_Viec'!$K:$K,MATCH(88,'02_DS_Nhan_Viec'!$L:$L,0)),"")</f>
      </c>
      <c r="H93" s="61">
        <f t="array" ref="H93">IF($B93="","",IF(IFERROR(INDEX('02_DS_Nhan_Viec'!$J:$J,MATCH($B93,'02_DS_Nhan_Viec'!$B:$B,0)),"")="","Đang theo dõi",IF(OR(IFERROR(INDEX('05_Theo_Doi_Gio_Cong_7_Ngay'!$R:$R,MATCH(IFERROR(INDEX('02_DS_Nhan_Viec'!$J:$J,MATCH($B93,'02_DS_Nhan_Viec'!$B:$B,0)),""),'05_Theo_Doi_Gio_Cong_7_Ngay'!$B:$B,0)),"")="",IFERROR(INDEX('05_Theo_Doi_Gio_Cong_7_Ngay'!$R:$R,MATCH(IFERROR(INDEX('02_DS_Nhan_Viec'!$J:$J,MATCH($B93,'02_DS_Nhan_Viec'!$B:$B,0)),""),'05_Theo_Doi_Gio_Cong_7_Ngay'!$B:$B,0)),0)=0),"Đang theo dõi",IFERROR(INDEX('06_DS_Chinh_Thuc'!$K:$K,MATCH(IFERROR(INDEX('05_Theo_Doi_Gio_Cong_7_Ngay'!$R:$R,MATCH(IFERROR(INDEX('02_DS_Nhan_Viec'!$J:$J,MATCH($B93,'02_DS_Nhan_Viec'!$B:$B,0)),""),'05_Theo_Doi_Gio_Cong_7_Ngay'!$B:$B,0)),0),'06_DS_Chinh_Thuc'!$B:$B,0)),"Đang theo dõi"))))</f>
      </c>
    </row>
    <row r="94" ht="14.25" customHeight="1" spans="1:8" x14ac:dyDescent="0.25">
      <c r="A94" s="78">
        <v>89</v>
      </c>
      <c r="B94" s="79">
        <f t="array" ref="B94">IFERROR(INDEX('02_DS_Nhan_Viec'!$B:$B,MATCH(89,'02_DS_Nhan_Viec'!$L:$L,0)),"")</f>
      </c>
      <c r="C94" s="79">
        <f t="array" ref="C94">IFERROR(INDEX('02_DS_Nhan_Viec'!$C:$C,MATCH(89,'02_DS_Nhan_Viec'!$L:$L,0)),"")</f>
      </c>
      <c r="D94" s="80">
        <f t="array" ref="D94">IFERROR(INDEX('02_DS_Nhan_Viec'!$D:$D,MATCH(89,'02_DS_Nhan_Viec'!$L:$L,0)),"")</f>
      </c>
      <c r="E94" s="80">
        <f t="array" ref="E94">IFERROR(INDEX('02_DS_Nhan_Viec'!$E:$E,MATCH(89,'02_DS_Nhan_Viec'!$L:$L,0)),"")</f>
      </c>
      <c r="F94" s="79">
        <f t="array" ref="F94">IFERROR(INDEX('02_DS_Nhan_Viec'!$F:$F,MATCH(89,'02_DS_Nhan_Viec'!$L:$L,0)),"")</f>
      </c>
      <c r="G94" s="79">
        <f t="array" ref="G94">IFERROR(INDEX('02_DS_Nhan_Viec'!$K:$K,MATCH(89,'02_DS_Nhan_Viec'!$L:$L,0)),"")</f>
      </c>
      <c r="H94" s="61">
        <f t="array" ref="H94">IF($B94="","",IF(IFERROR(INDEX('02_DS_Nhan_Viec'!$J:$J,MATCH($B94,'02_DS_Nhan_Viec'!$B:$B,0)),"")="","Đang theo dõi",IF(OR(IFERROR(INDEX('05_Theo_Doi_Gio_Cong_7_Ngay'!$R:$R,MATCH(IFERROR(INDEX('02_DS_Nhan_Viec'!$J:$J,MATCH($B94,'02_DS_Nhan_Viec'!$B:$B,0)),""),'05_Theo_Doi_Gio_Cong_7_Ngay'!$B:$B,0)),"")="",IFERROR(INDEX('05_Theo_Doi_Gio_Cong_7_Ngay'!$R:$R,MATCH(IFERROR(INDEX('02_DS_Nhan_Viec'!$J:$J,MATCH($B94,'02_DS_Nhan_Viec'!$B:$B,0)),""),'05_Theo_Doi_Gio_Cong_7_Ngay'!$B:$B,0)),0)=0),"Đang theo dõi",IFERROR(INDEX('06_DS_Chinh_Thuc'!$K:$K,MATCH(IFERROR(INDEX('05_Theo_Doi_Gio_Cong_7_Ngay'!$R:$R,MATCH(IFERROR(INDEX('02_DS_Nhan_Viec'!$J:$J,MATCH($B94,'02_DS_Nhan_Viec'!$B:$B,0)),""),'05_Theo_Doi_Gio_Cong_7_Ngay'!$B:$B,0)),0),'06_DS_Chinh_Thuc'!$B:$B,0)),"Đang theo dõi"))))</f>
      </c>
    </row>
    <row r="95" ht="14.25" customHeight="1" spans="1:8" x14ac:dyDescent="0.25">
      <c r="A95" s="78">
        <v>90</v>
      </c>
      <c r="B95" s="79">
        <f t="array" ref="B95">IFERROR(INDEX('02_DS_Nhan_Viec'!$B:$B,MATCH(90,'02_DS_Nhan_Viec'!$L:$L,0)),"")</f>
      </c>
      <c r="C95" s="79">
        <f t="array" ref="C95">IFERROR(INDEX('02_DS_Nhan_Viec'!$C:$C,MATCH(90,'02_DS_Nhan_Viec'!$L:$L,0)),"")</f>
      </c>
      <c r="D95" s="80">
        <f t="array" ref="D95">IFERROR(INDEX('02_DS_Nhan_Viec'!$D:$D,MATCH(90,'02_DS_Nhan_Viec'!$L:$L,0)),"")</f>
      </c>
      <c r="E95" s="80">
        <f t="array" ref="E95">IFERROR(INDEX('02_DS_Nhan_Viec'!$E:$E,MATCH(90,'02_DS_Nhan_Viec'!$L:$L,0)),"")</f>
      </c>
      <c r="F95" s="79">
        <f t="array" ref="F95">IFERROR(INDEX('02_DS_Nhan_Viec'!$F:$F,MATCH(90,'02_DS_Nhan_Viec'!$L:$L,0)),"")</f>
      </c>
      <c r="G95" s="79">
        <f t="array" ref="G95">IFERROR(INDEX('02_DS_Nhan_Viec'!$K:$K,MATCH(90,'02_DS_Nhan_Viec'!$L:$L,0)),"")</f>
      </c>
      <c r="H95" s="61">
        <f t="array" ref="H95">IF($B95="","",IF(IFERROR(INDEX('02_DS_Nhan_Viec'!$J:$J,MATCH($B95,'02_DS_Nhan_Viec'!$B:$B,0)),"")="","Đang theo dõi",IF(OR(IFERROR(INDEX('05_Theo_Doi_Gio_Cong_7_Ngay'!$R:$R,MATCH(IFERROR(INDEX('02_DS_Nhan_Viec'!$J:$J,MATCH($B95,'02_DS_Nhan_Viec'!$B:$B,0)),""),'05_Theo_Doi_Gio_Cong_7_Ngay'!$B:$B,0)),"")="",IFERROR(INDEX('05_Theo_Doi_Gio_Cong_7_Ngay'!$R:$R,MATCH(IFERROR(INDEX('02_DS_Nhan_Viec'!$J:$J,MATCH($B95,'02_DS_Nhan_Viec'!$B:$B,0)),""),'05_Theo_Doi_Gio_Cong_7_Ngay'!$B:$B,0)),0)=0),"Đang theo dõi",IFERROR(INDEX('06_DS_Chinh_Thuc'!$K:$K,MATCH(IFERROR(INDEX('05_Theo_Doi_Gio_Cong_7_Ngay'!$R:$R,MATCH(IFERROR(INDEX('02_DS_Nhan_Viec'!$J:$J,MATCH($B95,'02_DS_Nhan_Viec'!$B:$B,0)),""),'05_Theo_Doi_Gio_Cong_7_Ngay'!$B:$B,0)),0),'06_DS_Chinh_Thuc'!$B:$B,0)),"Đang theo dõi"))))</f>
      </c>
    </row>
    <row r="96" ht="14.25" customHeight="1" spans="1:8" x14ac:dyDescent="0.25">
      <c r="A96" s="78">
        <v>91</v>
      </c>
      <c r="B96" s="79">
        <f t="array" ref="B96">IFERROR(INDEX('02_DS_Nhan_Viec'!$B:$B,MATCH(91,'02_DS_Nhan_Viec'!$L:$L,0)),"")</f>
      </c>
      <c r="C96" s="79">
        <f t="array" ref="C96">IFERROR(INDEX('02_DS_Nhan_Viec'!$C:$C,MATCH(91,'02_DS_Nhan_Viec'!$L:$L,0)),"")</f>
      </c>
      <c r="D96" s="80">
        <f t="array" ref="D96">IFERROR(INDEX('02_DS_Nhan_Viec'!$D:$D,MATCH(91,'02_DS_Nhan_Viec'!$L:$L,0)),"")</f>
      </c>
      <c r="E96" s="80">
        <f t="array" ref="E96">IFERROR(INDEX('02_DS_Nhan_Viec'!$E:$E,MATCH(91,'02_DS_Nhan_Viec'!$L:$L,0)),"")</f>
      </c>
      <c r="F96" s="79">
        <f t="array" ref="F96">IFERROR(INDEX('02_DS_Nhan_Viec'!$F:$F,MATCH(91,'02_DS_Nhan_Viec'!$L:$L,0)),"")</f>
      </c>
      <c r="G96" s="79">
        <f t="array" ref="G96">IFERROR(INDEX('02_DS_Nhan_Viec'!$K:$K,MATCH(91,'02_DS_Nhan_Viec'!$L:$L,0)),"")</f>
      </c>
      <c r="H96" s="61">
        <f t="array" ref="H96">IF($B96="","",IF(IFERROR(INDEX('02_DS_Nhan_Viec'!$J:$J,MATCH($B96,'02_DS_Nhan_Viec'!$B:$B,0)),"")="","Đang theo dõi",IF(OR(IFERROR(INDEX('05_Theo_Doi_Gio_Cong_7_Ngay'!$R:$R,MATCH(IFERROR(INDEX('02_DS_Nhan_Viec'!$J:$J,MATCH($B96,'02_DS_Nhan_Viec'!$B:$B,0)),""),'05_Theo_Doi_Gio_Cong_7_Ngay'!$B:$B,0)),"")="",IFERROR(INDEX('05_Theo_Doi_Gio_Cong_7_Ngay'!$R:$R,MATCH(IFERROR(INDEX('02_DS_Nhan_Viec'!$J:$J,MATCH($B96,'02_DS_Nhan_Viec'!$B:$B,0)),""),'05_Theo_Doi_Gio_Cong_7_Ngay'!$B:$B,0)),0)=0),"Đang theo dõi",IFERROR(INDEX('06_DS_Chinh_Thuc'!$K:$K,MATCH(IFERROR(INDEX('05_Theo_Doi_Gio_Cong_7_Ngay'!$R:$R,MATCH(IFERROR(INDEX('02_DS_Nhan_Viec'!$J:$J,MATCH($B96,'02_DS_Nhan_Viec'!$B:$B,0)),""),'05_Theo_Doi_Gio_Cong_7_Ngay'!$B:$B,0)),0),'06_DS_Chinh_Thuc'!$B:$B,0)),"Đang theo dõi"))))</f>
      </c>
    </row>
    <row r="97" ht="14.25" customHeight="1" spans="1:8" x14ac:dyDescent="0.25">
      <c r="A97" s="78">
        <v>92</v>
      </c>
      <c r="B97" s="79">
        <f t="array" ref="B97">IFERROR(INDEX('02_DS_Nhan_Viec'!$B:$B,MATCH(92,'02_DS_Nhan_Viec'!$L:$L,0)),"")</f>
      </c>
      <c r="C97" s="79">
        <f t="array" ref="C97">IFERROR(INDEX('02_DS_Nhan_Viec'!$C:$C,MATCH(92,'02_DS_Nhan_Viec'!$L:$L,0)),"")</f>
      </c>
      <c r="D97" s="80">
        <f t="array" ref="D97">IFERROR(INDEX('02_DS_Nhan_Viec'!$D:$D,MATCH(92,'02_DS_Nhan_Viec'!$L:$L,0)),"")</f>
      </c>
      <c r="E97" s="80">
        <f t="array" ref="E97">IFERROR(INDEX('02_DS_Nhan_Viec'!$E:$E,MATCH(92,'02_DS_Nhan_Viec'!$L:$L,0)),"")</f>
      </c>
      <c r="F97" s="79">
        <f t="array" ref="F97">IFERROR(INDEX('02_DS_Nhan_Viec'!$F:$F,MATCH(92,'02_DS_Nhan_Viec'!$L:$L,0)),"")</f>
      </c>
      <c r="G97" s="79">
        <f t="array" ref="G97">IFERROR(INDEX('02_DS_Nhan_Viec'!$K:$K,MATCH(92,'02_DS_Nhan_Viec'!$L:$L,0)),"")</f>
      </c>
      <c r="H97" s="61">
        <f t="array" ref="H97">IF($B97="","",IF(IFERROR(INDEX('02_DS_Nhan_Viec'!$J:$J,MATCH($B97,'02_DS_Nhan_Viec'!$B:$B,0)),"")="","Đang theo dõi",IF(OR(IFERROR(INDEX('05_Theo_Doi_Gio_Cong_7_Ngay'!$R:$R,MATCH(IFERROR(INDEX('02_DS_Nhan_Viec'!$J:$J,MATCH($B97,'02_DS_Nhan_Viec'!$B:$B,0)),""),'05_Theo_Doi_Gio_Cong_7_Ngay'!$B:$B,0)),"")="",IFERROR(INDEX('05_Theo_Doi_Gio_Cong_7_Ngay'!$R:$R,MATCH(IFERROR(INDEX('02_DS_Nhan_Viec'!$J:$J,MATCH($B97,'02_DS_Nhan_Viec'!$B:$B,0)),""),'05_Theo_Doi_Gio_Cong_7_Ngay'!$B:$B,0)),0)=0),"Đang theo dõi",IFERROR(INDEX('06_DS_Chinh_Thuc'!$K:$K,MATCH(IFERROR(INDEX('05_Theo_Doi_Gio_Cong_7_Ngay'!$R:$R,MATCH(IFERROR(INDEX('02_DS_Nhan_Viec'!$J:$J,MATCH($B97,'02_DS_Nhan_Viec'!$B:$B,0)),""),'05_Theo_Doi_Gio_Cong_7_Ngay'!$B:$B,0)),0),'06_DS_Chinh_Thuc'!$B:$B,0)),"Đang theo dõi"))))</f>
      </c>
    </row>
    <row r="98" ht="14.25" customHeight="1" spans="1:8" x14ac:dyDescent="0.25">
      <c r="A98" s="78">
        <v>93</v>
      </c>
      <c r="B98" s="79">
        <f t="array" ref="B98">IFERROR(INDEX('02_DS_Nhan_Viec'!$B:$B,MATCH(93,'02_DS_Nhan_Viec'!$L:$L,0)),"")</f>
      </c>
      <c r="C98" s="79">
        <f t="array" ref="C98">IFERROR(INDEX('02_DS_Nhan_Viec'!$C:$C,MATCH(93,'02_DS_Nhan_Viec'!$L:$L,0)),"")</f>
      </c>
      <c r="D98" s="80">
        <f t="array" ref="D98">IFERROR(INDEX('02_DS_Nhan_Viec'!$D:$D,MATCH(93,'02_DS_Nhan_Viec'!$L:$L,0)),"")</f>
      </c>
      <c r="E98" s="80">
        <f t="array" ref="E98">IFERROR(INDEX('02_DS_Nhan_Viec'!$E:$E,MATCH(93,'02_DS_Nhan_Viec'!$L:$L,0)),"")</f>
      </c>
      <c r="F98" s="79">
        <f t="array" ref="F98">IFERROR(INDEX('02_DS_Nhan_Viec'!$F:$F,MATCH(93,'02_DS_Nhan_Viec'!$L:$L,0)),"")</f>
      </c>
      <c r="G98" s="79">
        <f t="array" ref="G98">IFERROR(INDEX('02_DS_Nhan_Viec'!$K:$K,MATCH(93,'02_DS_Nhan_Viec'!$L:$L,0)),"")</f>
      </c>
      <c r="H98" s="61">
        <f t="array" ref="H98">IF($B98="","",IF(IFERROR(INDEX('02_DS_Nhan_Viec'!$J:$J,MATCH($B98,'02_DS_Nhan_Viec'!$B:$B,0)),"")="","Đang theo dõi",IF(OR(IFERROR(INDEX('05_Theo_Doi_Gio_Cong_7_Ngay'!$R:$R,MATCH(IFERROR(INDEX('02_DS_Nhan_Viec'!$J:$J,MATCH($B98,'02_DS_Nhan_Viec'!$B:$B,0)),""),'05_Theo_Doi_Gio_Cong_7_Ngay'!$B:$B,0)),"")="",IFERROR(INDEX('05_Theo_Doi_Gio_Cong_7_Ngay'!$R:$R,MATCH(IFERROR(INDEX('02_DS_Nhan_Viec'!$J:$J,MATCH($B98,'02_DS_Nhan_Viec'!$B:$B,0)),""),'05_Theo_Doi_Gio_Cong_7_Ngay'!$B:$B,0)),0)=0),"Đang theo dõi",IFERROR(INDEX('06_DS_Chinh_Thuc'!$K:$K,MATCH(IFERROR(INDEX('05_Theo_Doi_Gio_Cong_7_Ngay'!$R:$R,MATCH(IFERROR(INDEX('02_DS_Nhan_Viec'!$J:$J,MATCH($B98,'02_DS_Nhan_Viec'!$B:$B,0)),""),'05_Theo_Doi_Gio_Cong_7_Ngay'!$B:$B,0)),0),'06_DS_Chinh_Thuc'!$B:$B,0)),"Đang theo dõi"))))</f>
      </c>
    </row>
    <row r="99" ht="14.25" customHeight="1" spans="1:8" x14ac:dyDescent="0.25">
      <c r="A99" s="78">
        <v>94</v>
      </c>
      <c r="B99" s="79">
        <f t="array" ref="B99">IFERROR(INDEX('02_DS_Nhan_Viec'!$B:$B,MATCH(94,'02_DS_Nhan_Viec'!$L:$L,0)),"")</f>
      </c>
      <c r="C99" s="79">
        <f t="array" ref="C99">IFERROR(INDEX('02_DS_Nhan_Viec'!$C:$C,MATCH(94,'02_DS_Nhan_Viec'!$L:$L,0)),"")</f>
      </c>
      <c r="D99" s="80">
        <f t="array" ref="D99">IFERROR(INDEX('02_DS_Nhan_Viec'!$D:$D,MATCH(94,'02_DS_Nhan_Viec'!$L:$L,0)),"")</f>
      </c>
      <c r="E99" s="80">
        <f t="array" ref="E99">IFERROR(INDEX('02_DS_Nhan_Viec'!$E:$E,MATCH(94,'02_DS_Nhan_Viec'!$L:$L,0)),"")</f>
      </c>
      <c r="F99" s="79">
        <f t="array" ref="F99">IFERROR(INDEX('02_DS_Nhan_Viec'!$F:$F,MATCH(94,'02_DS_Nhan_Viec'!$L:$L,0)),"")</f>
      </c>
      <c r="G99" s="79">
        <f t="array" ref="G99">IFERROR(INDEX('02_DS_Nhan_Viec'!$K:$K,MATCH(94,'02_DS_Nhan_Viec'!$L:$L,0)),"")</f>
      </c>
      <c r="H99" s="61">
        <f t="array" ref="H99">IF($B99="","",IF(IFERROR(INDEX('02_DS_Nhan_Viec'!$J:$J,MATCH($B99,'02_DS_Nhan_Viec'!$B:$B,0)),"")="","Đang theo dõi",IF(OR(IFERROR(INDEX('05_Theo_Doi_Gio_Cong_7_Ngay'!$R:$R,MATCH(IFERROR(INDEX('02_DS_Nhan_Viec'!$J:$J,MATCH($B99,'02_DS_Nhan_Viec'!$B:$B,0)),""),'05_Theo_Doi_Gio_Cong_7_Ngay'!$B:$B,0)),"")="",IFERROR(INDEX('05_Theo_Doi_Gio_Cong_7_Ngay'!$R:$R,MATCH(IFERROR(INDEX('02_DS_Nhan_Viec'!$J:$J,MATCH($B99,'02_DS_Nhan_Viec'!$B:$B,0)),""),'05_Theo_Doi_Gio_Cong_7_Ngay'!$B:$B,0)),0)=0),"Đang theo dõi",IFERROR(INDEX('06_DS_Chinh_Thuc'!$K:$K,MATCH(IFERROR(INDEX('05_Theo_Doi_Gio_Cong_7_Ngay'!$R:$R,MATCH(IFERROR(INDEX('02_DS_Nhan_Viec'!$J:$J,MATCH($B99,'02_DS_Nhan_Viec'!$B:$B,0)),""),'05_Theo_Doi_Gio_Cong_7_Ngay'!$B:$B,0)),0),'06_DS_Chinh_Thuc'!$B:$B,0)),"Đang theo dõi"))))</f>
      </c>
    </row>
    <row r="100" ht="14.25" customHeight="1" spans="1:8" x14ac:dyDescent="0.25">
      <c r="A100" s="78">
        <v>95</v>
      </c>
      <c r="B100" s="79">
        <f t="array" ref="B100">IFERROR(INDEX('02_DS_Nhan_Viec'!$B:$B,MATCH(95,'02_DS_Nhan_Viec'!$L:$L,0)),"")</f>
      </c>
      <c r="C100" s="79">
        <f t="array" ref="C100">IFERROR(INDEX('02_DS_Nhan_Viec'!$C:$C,MATCH(95,'02_DS_Nhan_Viec'!$L:$L,0)),"")</f>
      </c>
      <c r="D100" s="80">
        <f t="array" ref="D100">IFERROR(INDEX('02_DS_Nhan_Viec'!$D:$D,MATCH(95,'02_DS_Nhan_Viec'!$L:$L,0)),"")</f>
      </c>
      <c r="E100" s="80">
        <f t="array" ref="E100">IFERROR(INDEX('02_DS_Nhan_Viec'!$E:$E,MATCH(95,'02_DS_Nhan_Viec'!$L:$L,0)),"")</f>
      </c>
      <c r="F100" s="79">
        <f t="array" ref="F100">IFERROR(INDEX('02_DS_Nhan_Viec'!$F:$F,MATCH(95,'02_DS_Nhan_Viec'!$L:$L,0)),"")</f>
      </c>
      <c r="G100" s="79">
        <f t="array" ref="G100">IFERROR(INDEX('02_DS_Nhan_Viec'!$K:$K,MATCH(95,'02_DS_Nhan_Viec'!$L:$L,0)),"")</f>
      </c>
      <c r="H100" s="61">
        <f t="array" ref="H100">IF($B100="","",IF(IFERROR(INDEX('02_DS_Nhan_Viec'!$J:$J,MATCH($B100,'02_DS_Nhan_Viec'!$B:$B,0)),"")="","Đang theo dõi",IF(OR(IFERROR(INDEX('05_Theo_Doi_Gio_Cong_7_Ngay'!$R:$R,MATCH(IFERROR(INDEX('02_DS_Nhan_Viec'!$J:$J,MATCH($B100,'02_DS_Nhan_Viec'!$B:$B,0)),""),'05_Theo_Doi_Gio_Cong_7_Ngay'!$B:$B,0)),"")="",IFERROR(INDEX('05_Theo_Doi_Gio_Cong_7_Ngay'!$R:$R,MATCH(IFERROR(INDEX('02_DS_Nhan_Viec'!$J:$J,MATCH($B100,'02_DS_Nhan_Viec'!$B:$B,0)),""),'05_Theo_Doi_Gio_Cong_7_Ngay'!$B:$B,0)),0)=0),"Đang theo dõi",IFERROR(INDEX('06_DS_Chinh_Thuc'!$K:$K,MATCH(IFERROR(INDEX('05_Theo_Doi_Gio_Cong_7_Ngay'!$R:$R,MATCH(IFERROR(INDEX('02_DS_Nhan_Viec'!$J:$J,MATCH($B100,'02_DS_Nhan_Viec'!$B:$B,0)),""),'05_Theo_Doi_Gio_Cong_7_Ngay'!$B:$B,0)),0),'06_DS_Chinh_Thuc'!$B:$B,0)),"Đang theo dõi"))))</f>
      </c>
    </row>
    <row r="101" ht="14.25" customHeight="1" spans="1:8" x14ac:dyDescent="0.25">
      <c r="A101" s="78">
        <v>96</v>
      </c>
      <c r="B101" s="79">
        <f t="array" ref="B101">IFERROR(INDEX('02_DS_Nhan_Viec'!$B:$B,MATCH(96,'02_DS_Nhan_Viec'!$L:$L,0)),"")</f>
      </c>
      <c r="C101" s="79">
        <f t="array" ref="C101">IFERROR(INDEX('02_DS_Nhan_Viec'!$C:$C,MATCH(96,'02_DS_Nhan_Viec'!$L:$L,0)),"")</f>
      </c>
      <c r="D101" s="80">
        <f t="array" ref="D101">IFERROR(INDEX('02_DS_Nhan_Viec'!$D:$D,MATCH(96,'02_DS_Nhan_Viec'!$L:$L,0)),"")</f>
      </c>
      <c r="E101" s="80">
        <f t="array" ref="E101">IFERROR(INDEX('02_DS_Nhan_Viec'!$E:$E,MATCH(96,'02_DS_Nhan_Viec'!$L:$L,0)),"")</f>
      </c>
      <c r="F101" s="79">
        <f t="array" ref="F101">IFERROR(INDEX('02_DS_Nhan_Viec'!$F:$F,MATCH(96,'02_DS_Nhan_Viec'!$L:$L,0)),"")</f>
      </c>
      <c r="G101" s="79">
        <f t="array" ref="G101">IFERROR(INDEX('02_DS_Nhan_Viec'!$K:$K,MATCH(96,'02_DS_Nhan_Viec'!$L:$L,0)),"")</f>
      </c>
      <c r="H101" s="61">
        <f t="array" ref="H101">IF($B101="","",IF(IFERROR(INDEX('02_DS_Nhan_Viec'!$J:$J,MATCH($B101,'02_DS_Nhan_Viec'!$B:$B,0)),"")="","Đang theo dõi",IF(OR(IFERROR(INDEX('05_Theo_Doi_Gio_Cong_7_Ngay'!$R:$R,MATCH(IFERROR(INDEX('02_DS_Nhan_Viec'!$J:$J,MATCH($B101,'02_DS_Nhan_Viec'!$B:$B,0)),""),'05_Theo_Doi_Gio_Cong_7_Ngay'!$B:$B,0)),"")="",IFERROR(INDEX('05_Theo_Doi_Gio_Cong_7_Ngay'!$R:$R,MATCH(IFERROR(INDEX('02_DS_Nhan_Viec'!$J:$J,MATCH($B101,'02_DS_Nhan_Viec'!$B:$B,0)),""),'05_Theo_Doi_Gio_Cong_7_Ngay'!$B:$B,0)),0)=0),"Đang theo dõi",IFERROR(INDEX('06_DS_Chinh_Thuc'!$K:$K,MATCH(IFERROR(INDEX('05_Theo_Doi_Gio_Cong_7_Ngay'!$R:$R,MATCH(IFERROR(INDEX('02_DS_Nhan_Viec'!$J:$J,MATCH($B101,'02_DS_Nhan_Viec'!$B:$B,0)),""),'05_Theo_Doi_Gio_Cong_7_Ngay'!$B:$B,0)),0),'06_DS_Chinh_Thuc'!$B:$B,0)),"Đang theo dõi"))))</f>
      </c>
    </row>
    <row r="102" ht="14.25" customHeight="1" spans="1:8" x14ac:dyDescent="0.25">
      <c r="A102" s="78">
        <v>97</v>
      </c>
      <c r="B102" s="79">
        <f t="array" ref="B102">IFERROR(INDEX('02_DS_Nhan_Viec'!$B:$B,MATCH(97,'02_DS_Nhan_Viec'!$L:$L,0)),"")</f>
      </c>
      <c r="C102" s="79">
        <f t="array" ref="C102">IFERROR(INDEX('02_DS_Nhan_Viec'!$C:$C,MATCH(97,'02_DS_Nhan_Viec'!$L:$L,0)),"")</f>
      </c>
      <c r="D102" s="80">
        <f t="array" ref="D102">IFERROR(INDEX('02_DS_Nhan_Viec'!$D:$D,MATCH(97,'02_DS_Nhan_Viec'!$L:$L,0)),"")</f>
      </c>
      <c r="E102" s="80">
        <f t="array" ref="E102">IFERROR(INDEX('02_DS_Nhan_Viec'!$E:$E,MATCH(97,'02_DS_Nhan_Viec'!$L:$L,0)),"")</f>
      </c>
      <c r="F102" s="79">
        <f t="array" ref="F102">IFERROR(INDEX('02_DS_Nhan_Viec'!$F:$F,MATCH(97,'02_DS_Nhan_Viec'!$L:$L,0)),"")</f>
      </c>
      <c r="G102" s="79">
        <f t="array" ref="G102">IFERROR(INDEX('02_DS_Nhan_Viec'!$K:$K,MATCH(97,'02_DS_Nhan_Viec'!$L:$L,0)),"")</f>
      </c>
      <c r="H102" s="61">
        <f t="array" ref="H102">IF($B102="","",IF(IFERROR(INDEX('02_DS_Nhan_Viec'!$J:$J,MATCH($B102,'02_DS_Nhan_Viec'!$B:$B,0)),"")="","Đang theo dõi",IF(OR(IFERROR(INDEX('05_Theo_Doi_Gio_Cong_7_Ngay'!$R:$R,MATCH(IFERROR(INDEX('02_DS_Nhan_Viec'!$J:$J,MATCH($B102,'02_DS_Nhan_Viec'!$B:$B,0)),""),'05_Theo_Doi_Gio_Cong_7_Ngay'!$B:$B,0)),"")="",IFERROR(INDEX('05_Theo_Doi_Gio_Cong_7_Ngay'!$R:$R,MATCH(IFERROR(INDEX('02_DS_Nhan_Viec'!$J:$J,MATCH($B102,'02_DS_Nhan_Viec'!$B:$B,0)),""),'05_Theo_Doi_Gio_Cong_7_Ngay'!$B:$B,0)),0)=0),"Đang theo dõi",IFERROR(INDEX('06_DS_Chinh_Thuc'!$K:$K,MATCH(IFERROR(INDEX('05_Theo_Doi_Gio_Cong_7_Ngay'!$R:$R,MATCH(IFERROR(INDEX('02_DS_Nhan_Viec'!$J:$J,MATCH($B102,'02_DS_Nhan_Viec'!$B:$B,0)),""),'05_Theo_Doi_Gio_Cong_7_Ngay'!$B:$B,0)),0),'06_DS_Chinh_Thuc'!$B:$B,0)),"Đang theo dõi"))))</f>
      </c>
    </row>
    <row r="103" ht="14.25" customHeight="1" spans="1:8" x14ac:dyDescent="0.25">
      <c r="A103" s="78">
        <v>98</v>
      </c>
      <c r="B103" s="79">
        <f t="array" ref="B103">IFERROR(INDEX('02_DS_Nhan_Viec'!$B:$B,MATCH(98,'02_DS_Nhan_Viec'!$L:$L,0)),"")</f>
      </c>
      <c r="C103" s="79">
        <f t="array" ref="C103">IFERROR(INDEX('02_DS_Nhan_Viec'!$C:$C,MATCH(98,'02_DS_Nhan_Viec'!$L:$L,0)),"")</f>
      </c>
      <c r="D103" s="80">
        <f t="array" ref="D103">IFERROR(INDEX('02_DS_Nhan_Viec'!$D:$D,MATCH(98,'02_DS_Nhan_Viec'!$L:$L,0)),"")</f>
      </c>
      <c r="E103" s="80">
        <f t="array" ref="E103">IFERROR(INDEX('02_DS_Nhan_Viec'!$E:$E,MATCH(98,'02_DS_Nhan_Viec'!$L:$L,0)),"")</f>
      </c>
      <c r="F103" s="79">
        <f t="array" ref="F103">IFERROR(INDEX('02_DS_Nhan_Viec'!$F:$F,MATCH(98,'02_DS_Nhan_Viec'!$L:$L,0)),"")</f>
      </c>
      <c r="G103" s="79">
        <f t="array" ref="G103">IFERROR(INDEX('02_DS_Nhan_Viec'!$K:$K,MATCH(98,'02_DS_Nhan_Viec'!$L:$L,0)),"")</f>
      </c>
      <c r="H103" s="61">
        <f t="array" ref="H103">IF($B103="","",IF(IFERROR(INDEX('02_DS_Nhan_Viec'!$J:$J,MATCH($B103,'02_DS_Nhan_Viec'!$B:$B,0)),"")="","Đang theo dõi",IF(OR(IFERROR(INDEX('05_Theo_Doi_Gio_Cong_7_Ngay'!$R:$R,MATCH(IFERROR(INDEX('02_DS_Nhan_Viec'!$J:$J,MATCH($B103,'02_DS_Nhan_Viec'!$B:$B,0)),""),'05_Theo_Doi_Gio_Cong_7_Ngay'!$B:$B,0)),"")="",IFERROR(INDEX('05_Theo_Doi_Gio_Cong_7_Ngay'!$R:$R,MATCH(IFERROR(INDEX('02_DS_Nhan_Viec'!$J:$J,MATCH($B103,'02_DS_Nhan_Viec'!$B:$B,0)),""),'05_Theo_Doi_Gio_Cong_7_Ngay'!$B:$B,0)),0)=0),"Đang theo dõi",IFERROR(INDEX('06_DS_Chinh_Thuc'!$K:$K,MATCH(IFERROR(INDEX('05_Theo_Doi_Gio_Cong_7_Ngay'!$R:$R,MATCH(IFERROR(INDEX('02_DS_Nhan_Viec'!$J:$J,MATCH($B103,'02_DS_Nhan_Viec'!$B:$B,0)),""),'05_Theo_Doi_Gio_Cong_7_Ngay'!$B:$B,0)),0),'06_DS_Chinh_Thuc'!$B:$B,0)),"Đang theo dõi"))))</f>
      </c>
    </row>
    <row r="104" ht="14.25" customHeight="1" spans="1:8" x14ac:dyDescent="0.25">
      <c r="A104" s="78">
        <v>99</v>
      </c>
      <c r="B104" s="79">
        <f t="array" ref="B104">IFERROR(INDEX('02_DS_Nhan_Viec'!$B:$B,MATCH(99,'02_DS_Nhan_Viec'!$L:$L,0)),"")</f>
      </c>
      <c r="C104" s="79">
        <f t="array" ref="C104">IFERROR(INDEX('02_DS_Nhan_Viec'!$C:$C,MATCH(99,'02_DS_Nhan_Viec'!$L:$L,0)),"")</f>
      </c>
      <c r="D104" s="80">
        <f t="array" ref="D104">IFERROR(INDEX('02_DS_Nhan_Viec'!$D:$D,MATCH(99,'02_DS_Nhan_Viec'!$L:$L,0)),"")</f>
      </c>
      <c r="E104" s="80">
        <f t="array" ref="E104">IFERROR(INDEX('02_DS_Nhan_Viec'!$E:$E,MATCH(99,'02_DS_Nhan_Viec'!$L:$L,0)),"")</f>
      </c>
      <c r="F104" s="79">
        <f t="array" ref="F104">IFERROR(INDEX('02_DS_Nhan_Viec'!$F:$F,MATCH(99,'02_DS_Nhan_Viec'!$L:$L,0)),"")</f>
      </c>
      <c r="G104" s="79">
        <f t="array" ref="G104">IFERROR(INDEX('02_DS_Nhan_Viec'!$K:$K,MATCH(99,'02_DS_Nhan_Viec'!$L:$L,0)),"")</f>
      </c>
      <c r="H104" s="61">
        <f t="array" ref="H104">IF($B104="","",IF(IFERROR(INDEX('02_DS_Nhan_Viec'!$J:$J,MATCH($B104,'02_DS_Nhan_Viec'!$B:$B,0)),"")="","Đang theo dõi",IF(OR(IFERROR(INDEX('05_Theo_Doi_Gio_Cong_7_Ngay'!$R:$R,MATCH(IFERROR(INDEX('02_DS_Nhan_Viec'!$J:$J,MATCH($B104,'02_DS_Nhan_Viec'!$B:$B,0)),""),'05_Theo_Doi_Gio_Cong_7_Ngay'!$B:$B,0)),"")="",IFERROR(INDEX('05_Theo_Doi_Gio_Cong_7_Ngay'!$R:$R,MATCH(IFERROR(INDEX('02_DS_Nhan_Viec'!$J:$J,MATCH($B104,'02_DS_Nhan_Viec'!$B:$B,0)),""),'05_Theo_Doi_Gio_Cong_7_Ngay'!$B:$B,0)),0)=0),"Đang theo dõi",IFERROR(INDEX('06_DS_Chinh_Thuc'!$K:$K,MATCH(IFERROR(INDEX('05_Theo_Doi_Gio_Cong_7_Ngay'!$R:$R,MATCH(IFERROR(INDEX('02_DS_Nhan_Viec'!$J:$J,MATCH($B104,'02_DS_Nhan_Viec'!$B:$B,0)),""),'05_Theo_Doi_Gio_Cong_7_Ngay'!$B:$B,0)),0),'06_DS_Chinh_Thuc'!$B:$B,0)),"Đang theo dõi"))))</f>
      </c>
    </row>
    <row r="105" ht="14.25" customHeight="1" spans="1:8" x14ac:dyDescent="0.25">
      <c r="A105" s="78">
        <v>100</v>
      </c>
      <c r="B105" s="79">
        <f t="array" ref="B105">IFERROR(INDEX('02_DS_Nhan_Viec'!$B:$B,MATCH(100,'02_DS_Nhan_Viec'!$L:$L,0)),"")</f>
      </c>
      <c r="C105" s="79">
        <f t="array" ref="C105">IFERROR(INDEX('02_DS_Nhan_Viec'!$C:$C,MATCH(100,'02_DS_Nhan_Viec'!$L:$L,0)),"")</f>
      </c>
      <c r="D105" s="80">
        <f t="array" ref="D105">IFERROR(INDEX('02_DS_Nhan_Viec'!$D:$D,MATCH(100,'02_DS_Nhan_Viec'!$L:$L,0)),"")</f>
      </c>
      <c r="E105" s="80">
        <f t="array" ref="E105">IFERROR(INDEX('02_DS_Nhan_Viec'!$E:$E,MATCH(100,'02_DS_Nhan_Viec'!$L:$L,0)),"")</f>
      </c>
      <c r="F105" s="79">
        <f t="array" ref="F105">IFERROR(INDEX('02_DS_Nhan_Viec'!$F:$F,MATCH(100,'02_DS_Nhan_Viec'!$L:$L,0)),"")</f>
      </c>
      <c r="G105" s="79">
        <f t="array" ref="G105">IFERROR(INDEX('02_DS_Nhan_Viec'!$K:$K,MATCH(100,'02_DS_Nhan_Viec'!$L:$L,0)),"")</f>
      </c>
      <c r="H105" s="61">
        <f t="array" ref="H105">IF($B105="","",IF(IFERROR(INDEX('02_DS_Nhan_Viec'!$J:$J,MATCH($B105,'02_DS_Nhan_Viec'!$B:$B,0)),"")="","Đang theo dõi",IF(OR(IFERROR(INDEX('05_Theo_Doi_Gio_Cong_7_Ngay'!$R:$R,MATCH(IFERROR(INDEX('02_DS_Nhan_Viec'!$J:$J,MATCH($B105,'02_DS_Nhan_Viec'!$B:$B,0)),""),'05_Theo_Doi_Gio_Cong_7_Ngay'!$B:$B,0)),"")="",IFERROR(INDEX('05_Theo_Doi_Gio_Cong_7_Ngay'!$R:$R,MATCH(IFERROR(INDEX('02_DS_Nhan_Viec'!$J:$J,MATCH($B105,'02_DS_Nhan_Viec'!$B:$B,0)),""),'05_Theo_Doi_Gio_Cong_7_Ngay'!$B:$B,0)),0)=0),"Đang theo dõi",IFERROR(INDEX('06_DS_Chinh_Thuc'!$K:$K,MATCH(IFERROR(INDEX('05_Theo_Doi_Gio_Cong_7_Ngay'!$R:$R,MATCH(IFERROR(INDEX('02_DS_Nhan_Viec'!$J:$J,MATCH($B105,'02_DS_Nhan_Viec'!$B:$B,0)),""),'05_Theo_Doi_Gio_Cong_7_Ngay'!$B:$B,0)),0),'06_DS_Chinh_Thuc'!$B:$B,0)),"Đang theo dõi"))))</f>
      </c>
    </row>
    <row r="106" ht="14.25" customHeight="1" spans="1:8" x14ac:dyDescent="0.25">
      <c r="A106" s="78">
        <v>101</v>
      </c>
      <c r="B106" s="79">
        <f t="array" ref="B106">IFERROR(INDEX('02_DS_Nhan_Viec'!$B:$B,MATCH(101,'02_DS_Nhan_Viec'!$L:$L,0)),"")</f>
      </c>
      <c r="C106" s="79">
        <f t="array" ref="C106">IFERROR(INDEX('02_DS_Nhan_Viec'!$C:$C,MATCH(101,'02_DS_Nhan_Viec'!$L:$L,0)),"")</f>
      </c>
      <c r="D106" s="80">
        <f t="array" ref="D106">IFERROR(INDEX('02_DS_Nhan_Viec'!$D:$D,MATCH(101,'02_DS_Nhan_Viec'!$L:$L,0)),"")</f>
      </c>
      <c r="E106" s="80">
        <f t="array" ref="E106">IFERROR(INDEX('02_DS_Nhan_Viec'!$E:$E,MATCH(101,'02_DS_Nhan_Viec'!$L:$L,0)),"")</f>
      </c>
      <c r="F106" s="79">
        <f t="array" ref="F106">IFERROR(INDEX('02_DS_Nhan_Viec'!$F:$F,MATCH(101,'02_DS_Nhan_Viec'!$L:$L,0)),"")</f>
      </c>
      <c r="G106" s="79">
        <f t="array" ref="G106">IFERROR(INDEX('02_DS_Nhan_Viec'!$K:$K,MATCH(101,'02_DS_Nhan_Viec'!$L:$L,0)),"")</f>
      </c>
      <c r="H106" s="61">
        <f t="array" ref="H106">IF($B106="","",IF(IFERROR(INDEX('02_DS_Nhan_Viec'!$J:$J,MATCH($B106,'02_DS_Nhan_Viec'!$B:$B,0)),"")="","Đang theo dõi",IF(OR(IFERROR(INDEX('05_Theo_Doi_Gio_Cong_7_Ngay'!$R:$R,MATCH(IFERROR(INDEX('02_DS_Nhan_Viec'!$J:$J,MATCH($B106,'02_DS_Nhan_Viec'!$B:$B,0)),""),'05_Theo_Doi_Gio_Cong_7_Ngay'!$B:$B,0)),"")="",IFERROR(INDEX('05_Theo_Doi_Gio_Cong_7_Ngay'!$R:$R,MATCH(IFERROR(INDEX('02_DS_Nhan_Viec'!$J:$J,MATCH($B106,'02_DS_Nhan_Viec'!$B:$B,0)),""),'05_Theo_Doi_Gio_Cong_7_Ngay'!$B:$B,0)),0)=0),"Đang theo dõi",IFERROR(INDEX('06_DS_Chinh_Thuc'!$K:$K,MATCH(IFERROR(INDEX('05_Theo_Doi_Gio_Cong_7_Ngay'!$R:$R,MATCH(IFERROR(INDEX('02_DS_Nhan_Viec'!$J:$J,MATCH($B106,'02_DS_Nhan_Viec'!$B:$B,0)),""),'05_Theo_Doi_Gio_Cong_7_Ngay'!$B:$B,0)),0),'06_DS_Chinh_Thuc'!$B:$B,0)),"Đang theo dõi"))))</f>
      </c>
    </row>
    <row r="107" ht="14.25" customHeight="1" spans="1:8" x14ac:dyDescent="0.25">
      <c r="A107" s="78">
        <v>102</v>
      </c>
      <c r="B107" s="79">
        <f t="array" ref="B107">IFERROR(INDEX('02_DS_Nhan_Viec'!$B:$B,MATCH(102,'02_DS_Nhan_Viec'!$L:$L,0)),"")</f>
      </c>
      <c r="C107" s="79">
        <f t="array" ref="C107">IFERROR(INDEX('02_DS_Nhan_Viec'!$C:$C,MATCH(102,'02_DS_Nhan_Viec'!$L:$L,0)),"")</f>
      </c>
      <c r="D107" s="80">
        <f t="array" ref="D107">IFERROR(INDEX('02_DS_Nhan_Viec'!$D:$D,MATCH(102,'02_DS_Nhan_Viec'!$L:$L,0)),"")</f>
      </c>
      <c r="E107" s="80">
        <f t="array" ref="E107">IFERROR(INDEX('02_DS_Nhan_Viec'!$E:$E,MATCH(102,'02_DS_Nhan_Viec'!$L:$L,0)),"")</f>
      </c>
      <c r="F107" s="79">
        <f t="array" ref="F107">IFERROR(INDEX('02_DS_Nhan_Viec'!$F:$F,MATCH(102,'02_DS_Nhan_Viec'!$L:$L,0)),"")</f>
      </c>
      <c r="G107" s="79">
        <f t="array" ref="G107">IFERROR(INDEX('02_DS_Nhan_Viec'!$K:$K,MATCH(102,'02_DS_Nhan_Viec'!$L:$L,0)),"")</f>
      </c>
      <c r="H107" s="61">
        <f t="array" ref="H107">IF($B107="","",IF(IFERROR(INDEX('02_DS_Nhan_Viec'!$J:$J,MATCH($B107,'02_DS_Nhan_Viec'!$B:$B,0)),"")="","Đang theo dõi",IF(OR(IFERROR(INDEX('05_Theo_Doi_Gio_Cong_7_Ngay'!$R:$R,MATCH(IFERROR(INDEX('02_DS_Nhan_Viec'!$J:$J,MATCH($B107,'02_DS_Nhan_Viec'!$B:$B,0)),""),'05_Theo_Doi_Gio_Cong_7_Ngay'!$B:$B,0)),"")="",IFERROR(INDEX('05_Theo_Doi_Gio_Cong_7_Ngay'!$R:$R,MATCH(IFERROR(INDEX('02_DS_Nhan_Viec'!$J:$J,MATCH($B107,'02_DS_Nhan_Viec'!$B:$B,0)),""),'05_Theo_Doi_Gio_Cong_7_Ngay'!$B:$B,0)),0)=0),"Đang theo dõi",IFERROR(INDEX('06_DS_Chinh_Thuc'!$K:$K,MATCH(IFERROR(INDEX('05_Theo_Doi_Gio_Cong_7_Ngay'!$R:$R,MATCH(IFERROR(INDEX('02_DS_Nhan_Viec'!$J:$J,MATCH($B107,'02_DS_Nhan_Viec'!$B:$B,0)),""),'05_Theo_Doi_Gio_Cong_7_Ngay'!$B:$B,0)),0),'06_DS_Chinh_Thuc'!$B:$B,0)),"Đang theo dõi"))))</f>
      </c>
    </row>
    <row r="108" ht="14.25" customHeight="1" spans="1:8" x14ac:dyDescent="0.25">
      <c r="A108" s="78">
        <v>103</v>
      </c>
      <c r="B108" s="79">
        <f t="array" ref="B108">IFERROR(INDEX('02_DS_Nhan_Viec'!$B:$B,MATCH(103,'02_DS_Nhan_Viec'!$L:$L,0)),"")</f>
      </c>
      <c r="C108" s="79">
        <f t="array" ref="C108">IFERROR(INDEX('02_DS_Nhan_Viec'!$C:$C,MATCH(103,'02_DS_Nhan_Viec'!$L:$L,0)),"")</f>
      </c>
      <c r="D108" s="80">
        <f t="array" ref="D108">IFERROR(INDEX('02_DS_Nhan_Viec'!$D:$D,MATCH(103,'02_DS_Nhan_Viec'!$L:$L,0)),"")</f>
      </c>
      <c r="E108" s="80">
        <f t="array" ref="E108">IFERROR(INDEX('02_DS_Nhan_Viec'!$E:$E,MATCH(103,'02_DS_Nhan_Viec'!$L:$L,0)),"")</f>
      </c>
      <c r="F108" s="79">
        <f t="array" ref="F108">IFERROR(INDEX('02_DS_Nhan_Viec'!$F:$F,MATCH(103,'02_DS_Nhan_Viec'!$L:$L,0)),"")</f>
      </c>
      <c r="G108" s="79">
        <f t="array" ref="G108">IFERROR(INDEX('02_DS_Nhan_Viec'!$K:$K,MATCH(103,'02_DS_Nhan_Viec'!$L:$L,0)),"")</f>
      </c>
      <c r="H108" s="61">
        <f t="array" ref="H108">IF($B108="","",IF(IFERROR(INDEX('02_DS_Nhan_Viec'!$J:$J,MATCH($B108,'02_DS_Nhan_Viec'!$B:$B,0)),"")="","Đang theo dõi",IF(OR(IFERROR(INDEX('05_Theo_Doi_Gio_Cong_7_Ngay'!$R:$R,MATCH(IFERROR(INDEX('02_DS_Nhan_Viec'!$J:$J,MATCH($B108,'02_DS_Nhan_Viec'!$B:$B,0)),""),'05_Theo_Doi_Gio_Cong_7_Ngay'!$B:$B,0)),"")="",IFERROR(INDEX('05_Theo_Doi_Gio_Cong_7_Ngay'!$R:$R,MATCH(IFERROR(INDEX('02_DS_Nhan_Viec'!$J:$J,MATCH($B108,'02_DS_Nhan_Viec'!$B:$B,0)),""),'05_Theo_Doi_Gio_Cong_7_Ngay'!$B:$B,0)),0)=0),"Đang theo dõi",IFERROR(INDEX('06_DS_Chinh_Thuc'!$K:$K,MATCH(IFERROR(INDEX('05_Theo_Doi_Gio_Cong_7_Ngay'!$R:$R,MATCH(IFERROR(INDEX('02_DS_Nhan_Viec'!$J:$J,MATCH($B108,'02_DS_Nhan_Viec'!$B:$B,0)),""),'05_Theo_Doi_Gio_Cong_7_Ngay'!$B:$B,0)),0),'06_DS_Chinh_Thuc'!$B:$B,0)),"Đang theo dõi"))))</f>
      </c>
    </row>
    <row r="109" ht="14.25" customHeight="1" spans="1:8" x14ac:dyDescent="0.25">
      <c r="A109" s="78">
        <v>104</v>
      </c>
      <c r="B109" s="79">
        <f t="array" ref="B109">IFERROR(INDEX('02_DS_Nhan_Viec'!$B:$B,MATCH(104,'02_DS_Nhan_Viec'!$L:$L,0)),"")</f>
      </c>
      <c r="C109" s="79">
        <f t="array" ref="C109">IFERROR(INDEX('02_DS_Nhan_Viec'!$C:$C,MATCH(104,'02_DS_Nhan_Viec'!$L:$L,0)),"")</f>
      </c>
      <c r="D109" s="80">
        <f t="array" ref="D109">IFERROR(INDEX('02_DS_Nhan_Viec'!$D:$D,MATCH(104,'02_DS_Nhan_Viec'!$L:$L,0)),"")</f>
      </c>
      <c r="E109" s="80">
        <f t="array" ref="E109">IFERROR(INDEX('02_DS_Nhan_Viec'!$E:$E,MATCH(104,'02_DS_Nhan_Viec'!$L:$L,0)),"")</f>
      </c>
      <c r="F109" s="79">
        <f t="array" ref="F109">IFERROR(INDEX('02_DS_Nhan_Viec'!$F:$F,MATCH(104,'02_DS_Nhan_Viec'!$L:$L,0)),"")</f>
      </c>
      <c r="G109" s="79">
        <f t="array" ref="G109">IFERROR(INDEX('02_DS_Nhan_Viec'!$K:$K,MATCH(104,'02_DS_Nhan_Viec'!$L:$L,0)),"")</f>
      </c>
      <c r="H109" s="61">
        <f t="array" ref="H109">IF($B109="","",IF(IFERROR(INDEX('02_DS_Nhan_Viec'!$J:$J,MATCH($B109,'02_DS_Nhan_Viec'!$B:$B,0)),"")="","Đang theo dõi",IF(OR(IFERROR(INDEX('05_Theo_Doi_Gio_Cong_7_Ngay'!$R:$R,MATCH(IFERROR(INDEX('02_DS_Nhan_Viec'!$J:$J,MATCH($B109,'02_DS_Nhan_Viec'!$B:$B,0)),""),'05_Theo_Doi_Gio_Cong_7_Ngay'!$B:$B,0)),"")="",IFERROR(INDEX('05_Theo_Doi_Gio_Cong_7_Ngay'!$R:$R,MATCH(IFERROR(INDEX('02_DS_Nhan_Viec'!$J:$J,MATCH($B109,'02_DS_Nhan_Viec'!$B:$B,0)),""),'05_Theo_Doi_Gio_Cong_7_Ngay'!$B:$B,0)),0)=0),"Đang theo dõi",IFERROR(INDEX('06_DS_Chinh_Thuc'!$K:$K,MATCH(IFERROR(INDEX('05_Theo_Doi_Gio_Cong_7_Ngay'!$R:$R,MATCH(IFERROR(INDEX('02_DS_Nhan_Viec'!$J:$J,MATCH($B109,'02_DS_Nhan_Viec'!$B:$B,0)),""),'05_Theo_Doi_Gio_Cong_7_Ngay'!$B:$B,0)),0),'06_DS_Chinh_Thuc'!$B:$B,0)),"Đang theo dõi"))))</f>
      </c>
    </row>
    <row r="110" ht="14.25" customHeight="1" spans="1:8" x14ac:dyDescent="0.25">
      <c r="A110" s="78">
        <v>105</v>
      </c>
      <c r="B110" s="79">
        <f t="array" ref="B110">IFERROR(INDEX('02_DS_Nhan_Viec'!$B:$B,MATCH(105,'02_DS_Nhan_Viec'!$L:$L,0)),"")</f>
      </c>
      <c r="C110" s="79">
        <f t="array" ref="C110">IFERROR(INDEX('02_DS_Nhan_Viec'!$C:$C,MATCH(105,'02_DS_Nhan_Viec'!$L:$L,0)),"")</f>
      </c>
      <c r="D110" s="80">
        <f t="array" ref="D110">IFERROR(INDEX('02_DS_Nhan_Viec'!$D:$D,MATCH(105,'02_DS_Nhan_Viec'!$L:$L,0)),"")</f>
      </c>
      <c r="E110" s="80">
        <f t="array" ref="E110">IFERROR(INDEX('02_DS_Nhan_Viec'!$E:$E,MATCH(105,'02_DS_Nhan_Viec'!$L:$L,0)),"")</f>
      </c>
      <c r="F110" s="79">
        <f t="array" ref="F110">IFERROR(INDEX('02_DS_Nhan_Viec'!$F:$F,MATCH(105,'02_DS_Nhan_Viec'!$L:$L,0)),"")</f>
      </c>
      <c r="G110" s="79">
        <f t="array" ref="G110">IFERROR(INDEX('02_DS_Nhan_Viec'!$K:$K,MATCH(105,'02_DS_Nhan_Viec'!$L:$L,0)),"")</f>
      </c>
      <c r="H110" s="61">
        <f t="array" ref="H110">IF($B110="","",IF(IFERROR(INDEX('02_DS_Nhan_Viec'!$J:$J,MATCH($B110,'02_DS_Nhan_Viec'!$B:$B,0)),"")="","Đang theo dõi",IF(OR(IFERROR(INDEX('05_Theo_Doi_Gio_Cong_7_Ngay'!$R:$R,MATCH(IFERROR(INDEX('02_DS_Nhan_Viec'!$J:$J,MATCH($B110,'02_DS_Nhan_Viec'!$B:$B,0)),""),'05_Theo_Doi_Gio_Cong_7_Ngay'!$B:$B,0)),"")="",IFERROR(INDEX('05_Theo_Doi_Gio_Cong_7_Ngay'!$R:$R,MATCH(IFERROR(INDEX('02_DS_Nhan_Viec'!$J:$J,MATCH($B110,'02_DS_Nhan_Viec'!$B:$B,0)),""),'05_Theo_Doi_Gio_Cong_7_Ngay'!$B:$B,0)),0)=0),"Đang theo dõi",IFERROR(INDEX('06_DS_Chinh_Thuc'!$K:$K,MATCH(IFERROR(INDEX('05_Theo_Doi_Gio_Cong_7_Ngay'!$R:$R,MATCH(IFERROR(INDEX('02_DS_Nhan_Viec'!$J:$J,MATCH($B110,'02_DS_Nhan_Viec'!$B:$B,0)),""),'05_Theo_Doi_Gio_Cong_7_Ngay'!$B:$B,0)),0),'06_DS_Chinh_Thuc'!$B:$B,0)),"Đang theo dõi"))))</f>
      </c>
    </row>
    <row r="111" ht="14.25" customHeight="1" spans="1:8" x14ac:dyDescent="0.25">
      <c r="A111" s="78">
        <v>106</v>
      </c>
      <c r="B111" s="79">
        <f t="array" ref="B111">IFERROR(INDEX('02_DS_Nhan_Viec'!$B:$B,MATCH(106,'02_DS_Nhan_Viec'!$L:$L,0)),"")</f>
      </c>
      <c r="C111" s="79">
        <f t="array" ref="C111">IFERROR(INDEX('02_DS_Nhan_Viec'!$C:$C,MATCH(106,'02_DS_Nhan_Viec'!$L:$L,0)),"")</f>
      </c>
      <c r="D111" s="80">
        <f t="array" ref="D111">IFERROR(INDEX('02_DS_Nhan_Viec'!$D:$D,MATCH(106,'02_DS_Nhan_Viec'!$L:$L,0)),"")</f>
      </c>
      <c r="E111" s="80">
        <f t="array" ref="E111">IFERROR(INDEX('02_DS_Nhan_Viec'!$E:$E,MATCH(106,'02_DS_Nhan_Viec'!$L:$L,0)),"")</f>
      </c>
      <c r="F111" s="79">
        <f t="array" ref="F111">IFERROR(INDEX('02_DS_Nhan_Viec'!$F:$F,MATCH(106,'02_DS_Nhan_Viec'!$L:$L,0)),"")</f>
      </c>
      <c r="G111" s="79">
        <f t="array" ref="G111">IFERROR(INDEX('02_DS_Nhan_Viec'!$K:$K,MATCH(106,'02_DS_Nhan_Viec'!$L:$L,0)),"")</f>
      </c>
      <c r="H111" s="61">
        <f t="array" ref="H111">IF($B111="","",IF(IFERROR(INDEX('02_DS_Nhan_Viec'!$J:$J,MATCH($B111,'02_DS_Nhan_Viec'!$B:$B,0)),"")="","Đang theo dõi",IF(OR(IFERROR(INDEX('05_Theo_Doi_Gio_Cong_7_Ngay'!$R:$R,MATCH(IFERROR(INDEX('02_DS_Nhan_Viec'!$J:$J,MATCH($B111,'02_DS_Nhan_Viec'!$B:$B,0)),""),'05_Theo_Doi_Gio_Cong_7_Ngay'!$B:$B,0)),"")="",IFERROR(INDEX('05_Theo_Doi_Gio_Cong_7_Ngay'!$R:$R,MATCH(IFERROR(INDEX('02_DS_Nhan_Viec'!$J:$J,MATCH($B111,'02_DS_Nhan_Viec'!$B:$B,0)),""),'05_Theo_Doi_Gio_Cong_7_Ngay'!$B:$B,0)),0)=0),"Đang theo dõi",IFERROR(INDEX('06_DS_Chinh_Thuc'!$K:$K,MATCH(IFERROR(INDEX('05_Theo_Doi_Gio_Cong_7_Ngay'!$R:$R,MATCH(IFERROR(INDEX('02_DS_Nhan_Viec'!$J:$J,MATCH($B111,'02_DS_Nhan_Viec'!$B:$B,0)),""),'05_Theo_Doi_Gio_Cong_7_Ngay'!$B:$B,0)),0),'06_DS_Chinh_Thuc'!$B:$B,0)),"Đang theo dõi"))))</f>
      </c>
    </row>
    <row r="112" ht="14.25" customHeight="1" spans="1:8" x14ac:dyDescent="0.25">
      <c r="A112" s="78">
        <v>107</v>
      </c>
      <c r="B112" s="79">
        <f t="array" ref="B112">IFERROR(INDEX('02_DS_Nhan_Viec'!$B:$B,MATCH(107,'02_DS_Nhan_Viec'!$L:$L,0)),"")</f>
      </c>
      <c r="C112" s="79">
        <f t="array" ref="C112">IFERROR(INDEX('02_DS_Nhan_Viec'!$C:$C,MATCH(107,'02_DS_Nhan_Viec'!$L:$L,0)),"")</f>
      </c>
      <c r="D112" s="80">
        <f t="array" ref="D112">IFERROR(INDEX('02_DS_Nhan_Viec'!$D:$D,MATCH(107,'02_DS_Nhan_Viec'!$L:$L,0)),"")</f>
      </c>
      <c r="E112" s="80">
        <f t="array" ref="E112">IFERROR(INDEX('02_DS_Nhan_Viec'!$E:$E,MATCH(107,'02_DS_Nhan_Viec'!$L:$L,0)),"")</f>
      </c>
      <c r="F112" s="79">
        <f t="array" ref="F112">IFERROR(INDEX('02_DS_Nhan_Viec'!$F:$F,MATCH(107,'02_DS_Nhan_Viec'!$L:$L,0)),"")</f>
      </c>
      <c r="G112" s="79">
        <f t="array" ref="G112">IFERROR(INDEX('02_DS_Nhan_Viec'!$K:$K,MATCH(107,'02_DS_Nhan_Viec'!$L:$L,0)),"")</f>
      </c>
      <c r="H112" s="61">
        <f t="array" ref="H112">IF($B112="","",IF(IFERROR(INDEX('02_DS_Nhan_Viec'!$J:$J,MATCH($B112,'02_DS_Nhan_Viec'!$B:$B,0)),"")="","Đang theo dõi",IF(OR(IFERROR(INDEX('05_Theo_Doi_Gio_Cong_7_Ngay'!$R:$R,MATCH(IFERROR(INDEX('02_DS_Nhan_Viec'!$J:$J,MATCH($B112,'02_DS_Nhan_Viec'!$B:$B,0)),""),'05_Theo_Doi_Gio_Cong_7_Ngay'!$B:$B,0)),"")="",IFERROR(INDEX('05_Theo_Doi_Gio_Cong_7_Ngay'!$R:$R,MATCH(IFERROR(INDEX('02_DS_Nhan_Viec'!$J:$J,MATCH($B112,'02_DS_Nhan_Viec'!$B:$B,0)),""),'05_Theo_Doi_Gio_Cong_7_Ngay'!$B:$B,0)),0)=0),"Đang theo dõi",IFERROR(INDEX('06_DS_Chinh_Thuc'!$K:$K,MATCH(IFERROR(INDEX('05_Theo_Doi_Gio_Cong_7_Ngay'!$R:$R,MATCH(IFERROR(INDEX('02_DS_Nhan_Viec'!$J:$J,MATCH($B112,'02_DS_Nhan_Viec'!$B:$B,0)),""),'05_Theo_Doi_Gio_Cong_7_Ngay'!$B:$B,0)),0),'06_DS_Chinh_Thuc'!$B:$B,0)),"Đang theo dõi"))))</f>
      </c>
    </row>
    <row r="113" ht="14.25" customHeight="1" spans="1:8" x14ac:dyDescent="0.25">
      <c r="A113" s="78">
        <v>108</v>
      </c>
      <c r="B113" s="79">
        <f t="array" ref="B113">IFERROR(INDEX('02_DS_Nhan_Viec'!$B:$B,MATCH(108,'02_DS_Nhan_Viec'!$L:$L,0)),"")</f>
      </c>
      <c r="C113" s="79">
        <f t="array" ref="C113">IFERROR(INDEX('02_DS_Nhan_Viec'!$C:$C,MATCH(108,'02_DS_Nhan_Viec'!$L:$L,0)),"")</f>
      </c>
      <c r="D113" s="80">
        <f t="array" ref="D113">IFERROR(INDEX('02_DS_Nhan_Viec'!$D:$D,MATCH(108,'02_DS_Nhan_Viec'!$L:$L,0)),"")</f>
      </c>
      <c r="E113" s="80">
        <f t="array" ref="E113">IFERROR(INDEX('02_DS_Nhan_Viec'!$E:$E,MATCH(108,'02_DS_Nhan_Viec'!$L:$L,0)),"")</f>
      </c>
      <c r="F113" s="79">
        <f t="array" ref="F113">IFERROR(INDEX('02_DS_Nhan_Viec'!$F:$F,MATCH(108,'02_DS_Nhan_Viec'!$L:$L,0)),"")</f>
      </c>
      <c r="G113" s="79">
        <f t="array" ref="G113">IFERROR(INDEX('02_DS_Nhan_Viec'!$K:$K,MATCH(108,'02_DS_Nhan_Viec'!$L:$L,0)),"")</f>
      </c>
      <c r="H113" s="61">
        <f t="array" ref="H113">IF($B113="","",IF(IFERROR(INDEX('02_DS_Nhan_Viec'!$J:$J,MATCH($B113,'02_DS_Nhan_Viec'!$B:$B,0)),"")="","Đang theo dõi",IF(OR(IFERROR(INDEX('05_Theo_Doi_Gio_Cong_7_Ngay'!$R:$R,MATCH(IFERROR(INDEX('02_DS_Nhan_Viec'!$J:$J,MATCH($B113,'02_DS_Nhan_Viec'!$B:$B,0)),""),'05_Theo_Doi_Gio_Cong_7_Ngay'!$B:$B,0)),"")="",IFERROR(INDEX('05_Theo_Doi_Gio_Cong_7_Ngay'!$R:$R,MATCH(IFERROR(INDEX('02_DS_Nhan_Viec'!$J:$J,MATCH($B113,'02_DS_Nhan_Viec'!$B:$B,0)),""),'05_Theo_Doi_Gio_Cong_7_Ngay'!$B:$B,0)),0)=0),"Đang theo dõi",IFERROR(INDEX('06_DS_Chinh_Thuc'!$K:$K,MATCH(IFERROR(INDEX('05_Theo_Doi_Gio_Cong_7_Ngay'!$R:$R,MATCH(IFERROR(INDEX('02_DS_Nhan_Viec'!$J:$J,MATCH($B113,'02_DS_Nhan_Viec'!$B:$B,0)),""),'05_Theo_Doi_Gio_Cong_7_Ngay'!$B:$B,0)),0),'06_DS_Chinh_Thuc'!$B:$B,0)),"Đang theo dõi"))))</f>
      </c>
    </row>
    <row r="114" ht="14.25" customHeight="1" spans="1:8" x14ac:dyDescent="0.25">
      <c r="A114" s="78">
        <v>109</v>
      </c>
      <c r="B114" s="79">
        <f t="array" ref="B114">IFERROR(INDEX('02_DS_Nhan_Viec'!$B:$B,MATCH(109,'02_DS_Nhan_Viec'!$L:$L,0)),"")</f>
      </c>
      <c r="C114" s="79">
        <f t="array" ref="C114">IFERROR(INDEX('02_DS_Nhan_Viec'!$C:$C,MATCH(109,'02_DS_Nhan_Viec'!$L:$L,0)),"")</f>
      </c>
      <c r="D114" s="80">
        <f t="array" ref="D114">IFERROR(INDEX('02_DS_Nhan_Viec'!$D:$D,MATCH(109,'02_DS_Nhan_Viec'!$L:$L,0)),"")</f>
      </c>
      <c r="E114" s="80">
        <f t="array" ref="E114">IFERROR(INDEX('02_DS_Nhan_Viec'!$E:$E,MATCH(109,'02_DS_Nhan_Viec'!$L:$L,0)),"")</f>
      </c>
      <c r="F114" s="79">
        <f t="array" ref="F114">IFERROR(INDEX('02_DS_Nhan_Viec'!$F:$F,MATCH(109,'02_DS_Nhan_Viec'!$L:$L,0)),"")</f>
      </c>
      <c r="G114" s="79">
        <f t="array" ref="G114">IFERROR(INDEX('02_DS_Nhan_Viec'!$K:$K,MATCH(109,'02_DS_Nhan_Viec'!$L:$L,0)),"")</f>
      </c>
      <c r="H114" s="61">
        <f t="array" ref="H114">IF($B114="","",IF(IFERROR(INDEX('02_DS_Nhan_Viec'!$J:$J,MATCH($B114,'02_DS_Nhan_Viec'!$B:$B,0)),"")="","Đang theo dõi",IF(OR(IFERROR(INDEX('05_Theo_Doi_Gio_Cong_7_Ngay'!$R:$R,MATCH(IFERROR(INDEX('02_DS_Nhan_Viec'!$J:$J,MATCH($B114,'02_DS_Nhan_Viec'!$B:$B,0)),""),'05_Theo_Doi_Gio_Cong_7_Ngay'!$B:$B,0)),"")="",IFERROR(INDEX('05_Theo_Doi_Gio_Cong_7_Ngay'!$R:$R,MATCH(IFERROR(INDEX('02_DS_Nhan_Viec'!$J:$J,MATCH($B114,'02_DS_Nhan_Viec'!$B:$B,0)),""),'05_Theo_Doi_Gio_Cong_7_Ngay'!$B:$B,0)),0)=0),"Đang theo dõi",IFERROR(INDEX('06_DS_Chinh_Thuc'!$K:$K,MATCH(IFERROR(INDEX('05_Theo_Doi_Gio_Cong_7_Ngay'!$R:$R,MATCH(IFERROR(INDEX('02_DS_Nhan_Viec'!$J:$J,MATCH($B114,'02_DS_Nhan_Viec'!$B:$B,0)),""),'05_Theo_Doi_Gio_Cong_7_Ngay'!$B:$B,0)),0),'06_DS_Chinh_Thuc'!$B:$B,0)),"Đang theo dõi"))))</f>
      </c>
    </row>
    <row r="115" ht="14.25" customHeight="1" spans="1:8" x14ac:dyDescent="0.25">
      <c r="A115" s="78">
        <v>110</v>
      </c>
      <c r="B115" s="79">
        <f t="array" ref="B115">IFERROR(INDEX('02_DS_Nhan_Viec'!$B:$B,MATCH(110,'02_DS_Nhan_Viec'!$L:$L,0)),"")</f>
      </c>
      <c r="C115" s="79">
        <f t="array" ref="C115">IFERROR(INDEX('02_DS_Nhan_Viec'!$C:$C,MATCH(110,'02_DS_Nhan_Viec'!$L:$L,0)),"")</f>
      </c>
      <c r="D115" s="80">
        <f t="array" ref="D115">IFERROR(INDEX('02_DS_Nhan_Viec'!$D:$D,MATCH(110,'02_DS_Nhan_Viec'!$L:$L,0)),"")</f>
      </c>
      <c r="E115" s="80">
        <f t="array" ref="E115">IFERROR(INDEX('02_DS_Nhan_Viec'!$E:$E,MATCH(110,'02_DS_Nhan_Viec'!$L:$L,0)),"")</f>
      </c>
      <c r="F115" s="79">
        <f t="array" ref="F115">IFERROR(INDEX('02_DS_Nhan_Viec'!$F:$F,MATCH(110,'02_DS_Nhan_Viec'!$L:$L,0)),"")</f>
      </c>
      <c r="G115" s="79">
        <f t="array" ref="G115">IFERROR(INDEX('02_DS_Nhan_Viec'!$K:$K,MATCH(110,'02_DS_Nhan_Viec'!$L:$L,0)),"")</f>
      </c>
      <c r="H115" s="61">
        <f t="array" ref="H115">IF($B115="","",IF(IFERROR(INDEX('02_DS_Nhan_Viec'!$J:$J,MATCH($B115,'02_DS_Nhan_Viec'!$B:$B,0)),"")="","Đang theo dõi",IF(OR(IFERROR(INDEX('05_Theo_Doi_Gio_Cong_7_Ngay'!$R:$R,MATCH(IFERROR(INDEX('02_DS_Nhan_Viec'!$J:$J,MATCH($B115,'02_DS_Nhan_Viec'!$B:$B,0)),""),'05_Theo_Doi_Gio_Cong_7_Ngay'!$B:$B,0)),"")="",IFERROR(INDEX('05_Theo_Doi_Gio_Cong_7_Ngay'!$R:$R,MATCH(IFERROR(INDEX('02_DS_Nhan_Viec'!$J:$J,MATCH($B115,'02_DS_Nhan_Viec'!$B:$B,0)),""),'05_Theo_Doi_Gio_Cong_7_Ngay'!$B:$B,0)),0)=0),"Đang theo dõi",IFERROR(INDEX('06_DS_Chinh_Thuc'!$K:$K,MATCH(IFERROR(INDEX('05_Theo_Doi_Gio_Cong_7_Ngay'!$R:$R,MATCH(IFERROR(INDEX('02_DS_Nhan_Viec'!$J:$J,MATCH($B115,'02_DS_Nhan_Viec'!$B:$B,0)),""),'05_Theo_Doi_Gio_Cong_7_Ngay'!$B:$B,0)),0),'06_DS_Chinh_Thuc'!$B:$B,0)),"Đang theo dõi"))))</f>
      </c>
    </row>
    <row r="116" ht="14.25" customHeight="1" spans="1:8" x14ac:dyDescent="0.25">
      <c r="A116" s="78">
        <v>111</v>
      </c>
      <c r="B116" s="79">
        <f t="array" ref="B116">IFERROR(INDEX('02_DS_Nhan_Viec'!$B:$B,MATCH(111,'02_DS_Nhan_Viec'!$L:$L,0)),"")</f>
      </c>
      <c r="C116" s="79">
        <f t="array" ref="C116">IFERROR(INDEX('02_DS_Nhan_Viec'!$C:$C,MATCH(111,'02_DS_Nhan_Viec'!$L:$L,0)),"")</f>
      </c>
      <c r="D116" s="80">
        <f t="array" ref="D116">IFERROR(INDEX('02_DS_Nhan_Viec'!$D:$D,MATCH(111,'02_DS_Nhan_Viec'!$L:$L,0)),"")</f>
      </c>
      <c r="E116" s="80">
        <f t="array" ref="E116">IFERROR(INDEX('02_DS_Nhan_Viec'!$E:$E,MATCH(111,'02_DS_Nhan_Viec'!$L:$L,0)),"")</f>
      </c>
      <c r="F116" s="79">
        <f t="array" ref="F116">IFERROR(INDEX('02_DS_Nhan_Viec'!$F:$F,MATCH(111,'02_DS_Nhan_Viec'!$L:$L,0)),"")</f>
      </c>
      <c r="G116" s="79">
        <f t="array" ref="G116">IFERROR(INDEX('02_DS_Nhan_Viec'!$K:$K,MATCH(111,'02_DS_Nhan_Viec'!$L:$L,0)),"")</f>
      </c>
      <c r="H116" s="61">
        <f t="array" ref="H116">IF($B116="","",IF(IFERROR(INDEX('02_DS_Nhan_Viec'!$J:$J,MATCH($B116,'02_DS_Nhan_Viec'!$B:$B,0)),"")="","Đang theo dõi",IF(OR(IFERROR(INDEX('05_Theo_Doi_Gio_Cong_7_Ngay'!$R:$R,MATCH(IFERROR(INDEX('02_DS_Nhan_Viec'!$J:$J,MATCH($B116,'02_DS_Nhan_Viec'!$B:$B,0)),""),'05_Theo_Doi_Gio_Cong_7_Ngay'!$B:$B,0)),"")="",IFERROR(INDEX('05_Theo_Doi_Gio_Cong_7_Ngay'!$R:$R,MATCH(IFERROR(INDEX('02_DS_Nhan_Viec'!$J:$J,MATCH($B116,'02_DS_Nhan_Viec'!$B:$B,0)),""),'05_Theo_Doi_Gio_Cong_7_Ngay'!$B:$B,0)),0)=0),"Đang theo dõi",IFERROR(INDEX('06_DS_Chinh_Thuc'!$K:$K,MATCH(IFERROR(INDEX('05_Theo_Doi_Gio_Cong_7_Ngay'!$R:$R,MATCH(IFERROR(INDEX('02_DS_Nhan_Viec'!$J:$J,MATCH($B116,'02_DS_Nhan_Viec'!$B:$B,0)),""),'05_Theo_Doi_Gio_Cong_7_Ngay'!$B:$B,0)),0),'06_DS_Chinh_Thuc'!$B:$B,0)),"Đang theo dõi"))))</f>
      </c>
    </row>
    <row r="117" ht="14.25" customHeight="1" spans="1:8" x14ac:dyDescent="0.25">
      <c r="A117" s="78">
        <v>112</v>
      </c>
      <c r="B117" s="79">
        <f t="array" ref="B117">IFERROR(INDEX('02_DS_Nhan_Viec'!$B:$B,MATCH(112,'02_DS_Nhan_Viec'!$L:$L,0)),"")</f>
      </c>
      <c r="C117" s="79">
        <f t="array" ref="C117">IFERROR(INDEX('02_DS_Nhan_Viec'!$C:$C,MATCH(112,'02_DS_Nhan_Viec'!$L:$L,0)),"")</f>
      </c>
      <c r="D117" s="80">
        <f t="array" ref="D117">IFERROR(INDEX('02_DS_Nhan_Viec'!$D:$D,MATCH(112,'02_DS_Nhan_Viec'!$L:$L,0)),"")</f>
      </c>
      <c r="E117" s="80">
        <f t="array" ref="E117">IFERROR(INDEX('02_DS_Nhan_Viec'!$E:$E,MATCH(112,'02_DS_Nhan_Viec'!$L:$L,0)),"")</f>
      </c>
      <c r="F117" s="79">
        <f t="array" ref="F117">IFERROR(INDEX('02_DS_Nhan_Viec'!$F:$F,MATCH(112,'02_DS_Nhan_Viec'!$L:$L,0)),"")</f>
      </c>
      <c r="G117" s="79">
        <f t="array" ref="G117">IFERROR(INDEX('02_DS_Nhan_Viec'!$K:$K,MATCH(112,'02_DS_Nhan_Viec'!$L:$L,0)),"")</f>
      </c>
      <c r="H117" s="61">
        <f t="array" ref="H117">IF($B117="","",IF(IFERROR(INDEX('02_DS_Nhan_Viec'!$J:$J,MATCH($B117,'02_DS_Nhan_Viec'!$B:$B,0)),"")="","Đang theo dõi",IF(OR(IFERROR(INDEX('05_Theo_Doi_Gio_Cong_7_Ngay'!$R:$R,MATCH(IFERROR(INDEX('02_DS_Nhan_Viec'!$J:$J,MATCH($B117,'02_DS_Nhan_Viec'!$B:$B,0)),""),'05_Theo_Doi_Gio_Cong_7_Ngay'!$B:$B,0)),"")="",IFERROR(INDEX('05_Theo_Doi_Gio_Cong_7_Ngay'!$R:$R,MATCH(IFERROR(INDEX('02_DS_Nhan_Viec'!$J:$J,MATCH($B117,'02_DS_Nhan_Viec'!$B:$B,0)),""),'05_Theo_Doi_Gio_Cong_7_Ngay'!$B:$B,0)),0)=0),"Đang theo dõi",IFERROR(INDEX('06_DS_Chinh_Thuc'!$K:$K,MATCH(IFERROR(INDEX('05_Theo_Doi_Gio_Cong_7_Ngay'!$R:$R,MATCH(IFERROR(INDEX('02_DS_Nhan_Viec'!$J:$J,MATCH($B117,'02_DS_Nhan_Viec'!$B:$B,0)),""),'05_Theo_Doi_Gio_Cong_7_Ngay'!$B:$B,0)),0),'06_DS_Chinh_Thuc'!$B:$B,0)),"Đang theo dõi"))))</f>
      </c>
    </row>
    <row r="118" ht="14.25" customHeight="1" spans="1:8" x14ac:dyDescent="0.25">
      <c r="A118" s="78">
        <v>113</v>
      </c>
      <c r="B118" s="79">
        <f t="array" ref="B118">IFERROR(INDEX('02_DS_Nhan_Viec'!$B:$B,MATCH(113,'02_DS_Nhan_Viec'!$L:$L,0)),"")</f>
      </c>
      <c r="C118" s="79">
        <f t="array" ref="C118">IFERROR(INDEX('02_DS_Nhan_Viec'!$C:$C,MATCH(113,'02_DS_Nhan_Viec'!$L:$L,0)),"")</f>
      </c>
      <c r="D118" s="80">
        <f t="array" ref="D118">IFERROR(INDEX('02_DS_Nhan_Viec'!$D:$D,MATCH(113,'02_DS_Nhan_Viec'!$L:$L,0)),"")</f>
      </c>
      <c r="E118" s="80">
        <f t="array" ref="E118">IFERROR(INDEX('02_DS_Nhan_Viec'!$E:$E,MATCH(113,'02_DS_Nhan_Viec'!$L:$L,0)),"")</f>
      </c>
      <c r="F118" s="79">
        <f t="array" ref="F118">IFERROR(INDEX('02_DS_Nhan_Viec'!$F:$F,MATCH(113,'02_DS_Nhan_Viec'!$L:$L,0)),"")</f>
      </c>
      <c r="G118" s="79">
        <f t="array" ref="G118">IFERROR(INDEX('02_DS_Nhan_Viec'!$K:$K,MATCH(113,'02_DS_Nhan_Viec'!$L:$L,0)),"")</f>
      </c>
      <c r="H118" s="61">
        <f t="array" ref="H118">IF($B118="","",IF(IFERROR(INDEX('02_DS_Nhan_Viec'!$J:$J,MATCH($B118,'02_DS_Nhan_Viec'!$B:$B,0)),"")="","Đang theo dõi",IF(OR(IFERROR(INDEX('05_Theo_Doi_Gio_Cong_7_Ngay'!$R:$R,MATCH(IFERROR(INDEX('02_DS_Nhan_Viec'!$J:$J,MATCH($B118,'02_DS_Nhan_Viec'!$B:$B,0)),""),'05_Theo_Doi_Gio_Cong_7_Ngay'!$B:$B,0)),"")="",IFERROR(INDEX('05_Theo_Doi_Gio_Cong_7_Ngay'!$R:$R,MATCH(IFERROR(INDEX('02_DS_Nhan_Viec'!$J:$J,MATCH($B118,'02_DS_Nhan_Viec'!$B:$B,0)),""),'05_Theo_Doi_Gio_Cong_7_Ngay'!$B:$B,0)),0)=0),"Đang theo dõi",IFERROR(INDEX('06_DS_Chinh_Thuc'!$K:$K,MATCH(IFERROR(INDEX('05_Theo_Doi_Gio_Cong_7_Ngay'!$R:$R,MATCH(IFERROR(INDEX('02_DS_Nhan_Viec'!$J:$J,MATCH($B118,'02_DS_Nhan_Viec'!$B:$B,0)),""),'05_Theo_Doi_Gio_Cong_7_Ngay'!$B:$B,0)),0),'06_DS_Chinh_Thuc'!$B:$B,0)),"Đang theo dõi"))))</f>
      </c>
    </row>
    <row r="119" ht="14.25" customHeight="1" spans="1:8" x14ac:dyDescent="0.25">
      <c r="A119" s="78">
        <v>114</v>
      </c>
      <c r="B119" s="79">
        <f t="array" ref="B119">IFERROR(INDEX('02_DS_Nhan_Viec'!$B:$B,MATCH(114,'02_DS_Nhan_Viec'!$L:$L,0)),"")</f>
      </c>
      <c r="C119" s="79">
        <f t="array" ref="C119">IFERROR(INDEX('02_DS_Nhan_Viec'!$C:$C,MATCH(114,'02_DS_Nhan_Viec'!$L:$L,0)),"")</f>
      </c>
      <c r="D119" s="80">
        <f t="array" ref="D119">IFERROR(INDEX('02_DS_Nhan_Viec'!$D:$D,MATCH(114,'02_DS_Nhan_Viec'!$L:$L,0)),"")</f>
      </c>
      <c r="E119" s="80">
        <f t="array" ref="E119">IFERROR(INDEX('02_DS_Nhan_Viec'!$E:$E,MATCH(114,'02_DS_Nhan_Viec'!$L:$L,0)),"")</f>
      </c>
      <c r="F119" s="79">
        <f t="array" ref="F119">IFERROR(INDEX('02_DS_Nhan_Viec'!$F:$F,MATCH(114,'02_DS_Nhan_Viec'!$L:$L,0)),"")</f>
      </c>
      <c r="G119" s="79">
        <f t="array" ref="G119">IFERROR(INDEX('02_DS_Nhan_Viec'!$K:$K,MATCH(114,'02_DS_Nhan_Viec'!$L:$L,0)),"")</f>
      </c>
      <c r="H119" s="61">
        <f t="array" ref="H119">IF($B119="","",IF(IFERROR(INDEX('02_DS_Nhan_Viec'!$J:$J,MATCH($B119,'02_DS_Nhan_Viec'!$B:$B,0)),"")="","Đang theo dõi",IF(OR(IFERROR(INDEX('05_Theo_Doi_Gio_Cong_7_Ngay'!$R:$R,MATCH(IFERROR(INDEX('02_DS_Nhan_Viec'!$J:$J,MATCH($B119,'02_DS_Nhan_Viec'!$B:$B,0)),""),'05_Theo_Doi_Gio_Cong_7_Ngay'!$B:$B,0)),"")="",IFERROR(INDEX('05_Theo_Doi_Gio_Cong_7_Ngay'!$R:$R,MATCH(IFERROR(INDEX('02_DS_Nhan_Viec'!$J:$J,MATCH($B119,'02_DS_Nhan_Viec'!$B:$B,0)),""),'05_Theo_Doi_Gio_Cong_7_Ngay'!$B:$B,0)),0)=0),"Đang theo dõi",IFERROR(INDEX('06_DS_Chinh_Thuc'!$K:$K,MATCH(IFERROR(INDEX('05_Theo_Doi_Gio_Cong_7_Ngay'!$R:$R,MATCH(IFERROR(INDEX('02_DS_Nhan_Viec'!$J:$J,MATCH($B119,'02_DS_Nhan_Viec'!$B:$B,0)),""),'05_Theo_Doi_Gio_Cong_7_Ngay'!$B:$B,0)),0),'06_DS_Chinh_Thuc'!$B:$B,0)),"Đang theo dõi"))))</f>
      </c>
    </row>
    <row r="120" ht="14.25" customHeight="1" spans="1:8" x14ac:dyDescent="0.25">
      <c r="A120" s="78">
        <v>115</v>
      </c>
      <c r="B120" s="79">
        <f t="array" ref="B120">IFERROR(INDEX('02_DS_Nhan_Viec'!$B:$B,MATCH(115,'02_DS_Nhan_Viec'!$L:$L,0)),"")</f>
      </c>
      <c r="C120" s="79">
        <f t="array" ref="C120">IFERROR(INDEX('02_DS_Nhan_Viec'!$C:$C,MATCH(115,'02_DS_Nhan_Viec'!$L:$L,0)),"")</f>
      </c>
      <c r="D120" s="80">
        <f t="array" ref="D120">IFERROR(INDEX('02_DS_Nhan_Viec'!$D:$D,MATCH(115,'02_DS_Nhan_Viec'!$L:$L,0)),"")</f>
      </c>
      <c r="E120" s="80">
        <f t="array" ref="E120">IFERROR(INDEX('02_DS_Nhan_Viec'!$E:$E,MATCH(115,'02_DS_Nhan_Viec'!$L:$L,0)),"")</f>
      </c>
      <c r="F120" s="79">
        <f t="array" ref="F120">IFERROR(INDEX('02_DS_Nhan_Viec'!$F:$F,MATCH(115,'02_DS_Nhan_Viec'!$L:$L,0)),"")</f>
      </c>
      <c r="G120" s="79">
        <f t="array" ref="G120">IFERROR(INDEX('02_DS_Nhan_Viec'!$K:$K,MATCH(115,'02_DS_Nhan_Viec'!$L:$L,0)),"")</f>
      </c>
      <c r="H120" s="61">
        <f t="array" ref="H120">IF($B120="","",IF(IFERROR(INDEX('02_DS_Nhan_Viec'!$J:$J,MATCH($B120,'02_DS_Nhan_Viec'!$B:$B,0)),"")="","Đang theo dõi",IF(OR(IFERROR(INDEX('05_Theo_Doi_Gio_Cong_7_Ngay'!$R:$R,MATCH(IFERROR(INDEX('02_DS_Nhan_Viec'!$J:$J,MATCH($B120,'02_DS_Nhan_Viec'!$B:$B,0)),""),'05_Theo_Doi_Gio_Cong_7_Ngay'!$B:$B,0)),"")="",IFERROR(INDEX('05_Theo_Doi_Gio_Cong_7_Ngay'!$R:$R,MATCH(IFERROR(INDEX('02_DS_Nhan_Viec'!$J:$J,MATCH($B120,'02_DS_Nhan_Viec'!$B:$B,0)),""),'05_Theo_Doi_Gio_Cong_7_Ngay'!$B:$B,0)),0)=0),"Đang theo dõi",IFERROR(INDEX('06_DS_Chinh_Thuc'!$K:$K,MATCH(IFERROR(INDEX('05_Theo_Doi_Gio_Cong_7_Ngay'!$R:$R,MATCH(IFERROR(INDEX('02_DS_Nhan_Viec'!$J:$J,MATCH($B120,'02_DS_Nhan_Viec'!$B:$B,0)),""),'05_Theo_Doi_Gio_Cong_7_Ngay'!$B:$B,0)),0),'06_DS_Chinh_Thuc'!$B:$B,0)),"Đang theo dõi"))))</f>
      </c>
    </row>
    <row r="121" ht="14.25" customHeight="1" spans="1:8" x14ac:dyDescent="0.25">
      <c r="A121" s="78">
        <v>116</v>
      </c>
      <c r="B121" s="79">
        <f t="array" ref="B121">IFERROR(INDEX('02_DS_Nhan_Viec'!$B:$B,MATCH(116,'02_DS_Nhan_Viec'!$L:$L,0)),"")</f>
      </c>
      <c r="C121" s="79">
        <f t="array" ref="C121">IFERROR(INDEX('02_DS_Nhan_Viec'!$C:$C,MATCH(116,'02_DS_Nhan_Viec'!$L:$L,0)),"")</f>
      </c>
      <c r="D121" s="80">
        <f t="array" ref="D121">IFERROR(INDEX('02_DS_Nhan_Viec'!$D:$D,MATCH(116,'02_DS_Nhan_Viec'!$L:$L,0)),"")</f>
      </c>
      <c r="E121" s="80">
        <f t="array" ref="E121">IFERROR(INDEX('02_DS_Nhan_Viec'!$E:$E,MATCH(116,'02_DS_Nhan_Viec'!$L:$L,0)),"")</f>
      </c>
      <c r="F121" s="79">
        <f t="array" ref="F121">IFERROR(INDEX('02_DS_Nhan_Viec'!$F:$F,MATCH(116,'02_DS_Nhan_Viec'!$L:$L,0)),"")</f>
      </c>
      <c r="G121" s="79">
        <f t="array" ref="G121">IFERROR(INDEX('02_DS_Nhan_Viec'!$K:$K,MATCH(116,'02_DS_Nhan_Viec'!$L:$L,0)),"")</f>
      </c>
      <c r="H121" s="61">
        <f t="array" ref="H121">IF($B121="","",IF(IFERROR(INDEX('02_DS_Nhan_Viec'!$J:$J,MATCH($B121,'02_DS_Nhan_Viec'!$B:$B,0)),"")="","Đang theo dõi",IF(OR(IFERROR(INDEX('05_Theo_Doi_Gio_Cong_7_Ngay'!$R:$R,MATCH(IFERROR(INDEX('02_DS_Nhan_Viec'!$J:$J,MATCH($B121,'02_DS_Nhan_Viec'!$B:$B,0)),""),'05_Theo_Doi_Gio_Cong_7_Ngay'!$B:$B,0)),"")="",IFERROR(INDEX('05_Theo_Doi_Gio_Cong_7_Ngay'!$R:$R,MATCH(IFERROR(INDEX('02_DS_Nhan_Viec'!$J:$J,MATCH($B121,'02_DS_Nhan_Viec'!$B:$B,0)),""),'05_Theo_Doi_Gio_Cong_7_Ngay'!$B:$B,0)),0)=0),"Đang theo dõi",IFERROR(INDEX('06_DS_Chinh_Thuc'!$K:$K,MATCH(IFERROR(INDEX('05_Theo_Doi_Gio_Cong_7_Ngay'!$R:$R,MATCH(IFERROR(INDEX('02_DS_Nhan_Viec'!$J:$J,MATCH($B121,'02_DS_Nhan_Viec'!$B:$B,0)),""),'05_Theo_Doi_Gio_Cong_7_Ngay'!$B:$B,0)),0),'06_DS_Chinh_Thuc'!$B:$B,0)),"Đang theo dõi"))))</f>
      </c>
    </row>
    <row r="122" ht="14.25" customHeight="1" spans="1:8" x14ac:dyDescent="0.25">
      <c r="A122" s="78">
        <v>117</v>
      </c>
      <c r="B122" s="79">
        <f t="array" ref="B122">IFERROR(INDEX('02_DS_Nhan_Viec'!$B:$B,MATCH(117,'02_DS_Nhan_Viec'!$L:$L,0)),"")</f>
      </c>
      <c r="C122" s="79">
        <f t="array" ref="C122">IFERROR(INDEX('02_DS_Nhan_Viec'!$C:$C,MATCH(117,'02_DS_Nhan_Viec'!$L:$L,0)),"")</f>
      </c>
      <c r="D122" s="80">
        <f t="array" ref="D122">IFERROR(INDEX('02_DS_Nhan_Viec'!$D:$D,MATCH(117,'02_DS_Nhan_Viec'!$L:$L,0)),"")</f>
      </c>
      <c r="E122" s="80">
        <f t="array" ref="E122">IFERROR(INDEX('02_DS_Nhan_Viec'!$E:$E,MATCH(117,'02_DS_Nhan_Viec'!$L:$L,0)),"")</f>
      </c>
      <c r="F122" s="79">
        <f t="array" ref="F122">IFERROR(INDEX('02_DS_Nhan_Viec'!$F:$F,MATCH(117,'02_DS_Nhan_Viec'!$L:$L,0)),"")</f>
      </c>
      <c r="G122" s="79">
        <f t="array" ref="G122">IFERROR(INDEX('02_DS_Nhan_Viec'!$K:$K,MATCH(117,'02_DS_Nhan_Viec'!$L:$L,0)),"")</f>
      </c>
      <c r="H122" s="61">
        <f t="array" ref="H122">IF($B122="","",IF(IFERROR(INDEX('02_DS_Nhan_Viec'!$J:$J,MATCH($B122,'02_DS_Nhan_Viec'!$B:$B,0)),"")="","Đang theo dõi",IF(OR(IFERROR(INDEX('05_Theo_Doi_Gio_Cong_7_Ngay'!$R:$R,MATCH(IFERROR(INDEX('02_DS_Nhan_Viec'!$J:$J,MATCH($B122,'02_DS_Nhan_Viec'!$B:$B,0)),""),'05_Theo_Doi_Gio_Cong_7_Ngay'!$B:$B,0)),"")="",IFERROR(INDEX('05_Theo_Doi_Gio_Cong_7_Ngay'!$R:$R,MATCH(IFERROR(INDEX('02_DS_Nhan_Viec'!$J:$J,MATCH($B122,'02_DS_Nhan_Viec'!$B:$B,0)),""),'05_Theo_Doi_Gio_Cong_7_Ngay'!$B:$B,0)),0)=0),"Đang theo dõi",IFERROR(INDEX('06_DS_Chinh_Thuc'!$K:$K,MATCH(IFERROR(INDEX('05_Theo_Doi_Gio_Cong_7_Ngay'!$R:$R,MATCH(IFERROR(INDEX('02_DS_Nhan_Viec'!$J:$J,MATCH($B122,'02_DS_Nhan_Viec'!$B:$B,0)),""),'05_Theo_Doi_Gio_Cong_7_Ngay'!$B:$B,0)),0),'06_DS_Chinh_Thuc'!$B:$B,0)),"Đang theo dõi"))))</f>
      </c>
    </row>
    <row r="123" ht="14.25" customHeight="1" spans="1:8" x14ac:dyDescent="0.25">
      <c r="A123" s="78">
        <v>118</v>
      </c>
      <c r="B123" s="79">
        <f t="array" ref="B123">IFERROR(INDEX('02_DS_Nhan_Viec'!$B:$B,MATCH(118,'02_DS_Nhan_Viec'!$L:$L,0)),"")</f>
      </c>
      <c r="C123" s="79">
        <f t="array" ref="C123">IFERROR(INDEX('02_DS_Nhan_Viec'!$C:$C,MATCH(118,'02_DS_Nhan_Viec'!$L:$L,0)),"")</f>
      </c>
      <c r="D123" s="80">
        <f t="array" ref="D123">IFERROR(INDEX('02_DS_Nhan_Viec'!$D:$D,MATCH(118,'02_DS_Nhan_Viec'!$L:$L,0)),"")</f>
      </c>
      <c r="E123" s="80">
        <f t="array" ref="E123">IFERROR(INDEX('02_DS_Nhan_Viec'!$E:$E,MATCH(118,'02_DS_Nhan_Viec'!$L:$L,0)),"")</f>
      </c>
      <c r="F123" s="79">
        <f t="array" ref="F123">IFERROR(INDEX('02_DS_Nhan_Viec'!$F:$F,MATCH(118,'02_DS_Nhan_Viec'!$L:$L,0)),"")</f>
      </c>
      <c r="G123" s="79">
        <f t="array" ref="G123">IFERROR(INDEX('02_DS_Nhan_Viec'!$K:$K,MATCH(118,'02_DS_Nhan_Viec'!$L:$L,0)),"")</f>
      </c>
      <c r="H123" s="61">
        <f t="array" ref="H123">IF($B123="","",IF(IFERROR(INDEX('02_DS_Nhan_Viec'!$J:$J,MATCH($B123,'02_DS_Nhan_Viec'!$B:$B,0)),"")="","Đang theo dõi",IF(OR(IFERROR(INDEX('05_Theo_Doi_Gio_Cong_7_Ngay'!$R:$R,MATCH(IFERROR(INDEX('02_DS_Nhan_Viec'!$J:$J,MATCH($B123,'02_DS_Nhan_Viec'!$B:$B,0)),""),'05_Theo_Doi_Gio_Cong_7_Ngay'!$B:$B,0)),"")="",IFERROR(INDEX('05_Theo_Doi_Gio_Cong_7_Ngay'!$R:$R,MATCH(IFERROR(INDEX('02_DS_Nhan_Viec'!$J:$J,MATCH($B123,'02_DS_Nhan_Viec'!$B:$B,0)),""),'05_Theo_Doi_Gio_Cong_7_Ngay'!$B:$B,0)),0)=0),"Đang theo dõi",IFERROR(INDEX('06_DS_Chinh_Thuc'!$K:$K,MATCH(IFERROR(INDEX('05_Theo_Doi_Gio_Cong_7_Ngay'!$R:$R,MATCH(IFERROR(INDEX('02_DS_Nhan_Viec'!$J:$J,MATCH($B123,'02_DS_Nhan_Viec'!$B:$B,0)),""),'05_Theo_Doi_Gio_Cong_7_Ngay'!$B:$B,0)),0),'06_DS_Chinh_Thuc'!$B:$B,0)),"Đang theo dõi"))))</f>
      </c>
    </row>
    <row r="124" ht="14.25" customHeight="1" spans="1:8" x14ac:dyDescent="0.25">
      <c r="A124" s="78">
        <v>119</v>
      </c>
      <c r="B124" s="79">
        <f t="array" ref="B124">IFERROR(INDEX('02_DS_Nhan_Viec'!$B:$B,MATCH(119,'02_DS_Nhan_Viec'!$L:$L,0)),"")</f>
      </c>
      <c r="C124" s="79">
        <f t="array" ref="C124">IFERROR(INDEX('02_DS_Nhan_Viec'!$C:$C,MATCH(119,'02_DS_Nhan_Viec'!$L:$L,0)),"")</f>
      </c>
      <c r="D124" s="80">
        <f t="array" ref="D124">IFERROR(INDEX('02_DS_Nhan_Viec'!$D:$D,MATCH(119,'02_DS_Nhan_Viec'!$L:$L,0)),"")</f>
      </c>
      <c r="E124" s="80">
        <f t="array" ref="E124">IFERROR(INDEX('02_DS_Nhan_Viec'!$E:$E,MATCH(119,'02_DS_Nhan_Viec'!$L:$L,0)),"")</f>
      </c>
      <c r="F124" s="79">
        <f t="array" ref="F124">IFERROR(INDEX('02_DS_Nhan_Viec'!$F:$F,MATCH(119,'02_DS_Nhan_Viec'!$L:$L,0)),"")</f>
      </c>
      <c r="G124" s="79">
        <f t="array" ref="G124">IFERROR(INDEX('02_DS_Nhan_Viec'!$K:$K,MATCH(119,'02_DS_Nhan_Viec'!$L:$L,0)),"")</f>
      </c>
      <c r="H124" s="61">
        <f t="array" ref="H124">IF($B124="","",IF(IFERROR(INDEX('02_DS_Nhan_Viec'!$J:$J,MATCH($B124,'02_DS_Nhan_Viec'!$B:$B,0)),"")="","Đang theo dõi",IF(OR(IFERROR(INDEX('05_Theo_Doi_Gio_Cong_7_Ngay'!$R:$R,MATCH(IFERROR(INDEX('02_DS_Nhan_Viec'!$J:$J,MATCH($B124,'02_DS_Nhan_Viec'!$B:$B,0)),""),'05_Theo_Doi_Gio_Cong_7_Ngay'!$B:$B,0)),"")="",IFERROR(INDEX('05_Theo_Doi_Gio_Cong_7_Ngay'!$R:$R,MATCH(IFERROR(INDEX('02_DS_Nhan_Viec'!$J:$J,MATCH($B124,'02_DS_Nhan_Viec'!$B:$B,0)),""),'05_Theo_Doi_Gio_Cong_7_Ngay'!$B:$B,0)),0)=0),"Đang theo dõi",IFERROR(INDEX('06_DS_Chinh_Thuc'!$K:$K,MATCH(IFERROR(INDEX('05_Theo_Doi_Gio_Cong_7_Ngay'!$R:$R,MATCH(IFERROR(INDEX('02_DS_Nhan_Viec'!$J:$J,MATCH($B124,'02_DS_Nhan_Viec'!$B:$B,0)),""),'05_Theo_Doi_Gio_Cong_7_Ngay'!$B:$B,0)),0),'06_DS_Chinh_Thuc'!$B:$B,0)),"Đang theo dõi"))))</f>
      </c>
    </row>
    <row r="125" ht="14.25" customHeight="1" spans="1:8" x14ac:dyDescent="0.25">
      <c r="A125" s="78">
        <v>120</v>
      </c>
      <c r="B125" s="79">
        <f t="array" ref="B125">IFERROR(INDEX('02_DS_Nhan_Viec'!$B:$B,MATCH(120,'02_DS_Nhan_Viec'!$L:$L,0)),"")</f>
      </c>
      <c r="C125" s="79">
        <f t="array" ref="C125">IFERROR(INDEX('02_DS_Nhan_Viec'!$C:$C,MATCH(120,'02_DS_Nhan_Viec'!$L:$L,0)),"")</f>
      </c>
      <c r="D125" s="80">
        <f t="array" ref="D125">IFERROR(INDEX('02_DS_Nhan_Viec'!$D:$D,MATCH(120,'02_DS_Nhan_Viec'!$L:$L,0)),"")</f>
      </c>
      <c r="E125" s="80">
        <f t="array" ref="E125">IFERROR(INDEX('02_DS_Nhan_Viec'!$E:$E,MATCH(120,'02_DS_Nhan_Viec'!$L:$L,0)),"")</f>
      </c>
      <c r="F125" s="79">
        <f t="array" ref="F125">IFERROR(INDEX('02_DS_Nhan_Viec'!$F:$F,MATCH(120,'02_DS_Nhan_Viec'!$L:$L,0)),"")</f>
      </c>
      <c r="G125" s="79">
        <f t="array" ref="G125">IFERROR(INDEX('02_DS_Nhan_Viec'!$K:$K,MATCH(120,'02_DS_Nhan_Viec'!$L:$L,0)),"")</f>
      </c>
      <c r="H125" s="61">
        <f t="array" ref="H125">IF($B125="","",IF(IFERROR(INDEX('02_DS_Nhan_Viec'!$J:$J,MATCH($B125,'02_DS_Nhan_Viec'!$B:$B,0)),"")="","Đang theo dõi",IF(OR(IFERROR(INDEX('05_Theo_Doi_Gio_Cong_7_Ngay'!$R:$R,MATCH(IFERROR(INDEX('02_DS_Nhan_Viec'!$J:$J,MATCH($B125,'02_DS_Nhan_Viec'!$B:$B,0)),""),'05_Theo_Doi_Gio_Cong_7_Ngay'!$B:$B,0)),"")="",IFERROR(INDEX('05_Theo_Doi_Gio_Cong_7_Ngay'!$R:$R,MATCH(IFERROR(INDEX('02_DS_Nhan_Viec'!$J:$J,MATCH($B125,'02_DS_Nhan_Viec'!$B:$B,0)),""),'05_Theo_Doi_Gio_Cong_7_Ngay'!$B:$B,0)),0)=0),"Đang theo dõi",IFERROR(INDEX('06_DS_Chinh_Thuc'!$K:$K,MATCH(IFERROR(INDEX('05_Theo_Doi_Gio_Cong_7_Ngay'!$R:$R,MATCH(IFERROR(INDEX('02_DS_Nhan_Viec'!$J:$J,MATCH($B125,'02_DS_Nhan_Viec'!$B:$B,0)),""),'05_Theo_Doi_Gio_Cong_7_Ngay'!$B:$B,0)),0),'06_DS_Chinh_Thuc'!$B:$B,0)),"Đang theo dõi"))))</f>
      </c>
    </row>
    <row r="126" ht="14.25" customHeight="1" spans="1:8" x14ac:dyDescent="0.25">
      <c r="A126" s="78">
        <v>121</v>
      </c>
      <c r="B126" s="79">
        <f t="array" ref="B126">IFERROR(INDEX('02_DS_Nhan_Viec'!$B:$B,MATCH(121,'02_DS_Nhan_Viec'!$L:$L,0)),"")</f>
      </c>
      <c r="C126" s="79">
        <f t="array" ref="C126">IFERROR(INDEX('02_DS_Nhan_Viec'!$C:$C,MATCH(121,'02_DS_Nhan_Viec'!$L:$L,0)),"")</f>
      </c>
      <c r="D126" s="80">
        <f t="array" ref="D126">IFERROR(INDEX('02_DS_Nhan_Viec'!$D:$D,MATCH(121,'02_DS_Nhan_Viec'!$L:$L,0)),"")</f>
      </c>
      <c r="E126" s="80">
        <f t="array" ref="E126">IFERROR(INDEX('02_DS_Nhan_Viec'!$E:$E,MATCH(121,'02_DS_Nhan_Viec'!$L:$L,0)),"")</f>
      </c>
      <c r="F126" s="79">
        <f t="array" ref="F126">IFERROR(INDEX('02_DS_Nhan_Viec'!$F:$F,MATCH(121,'02_DS_Nhan_Viec'!$L:$L,0)),"")</f>
      </c>
      <c r="G126" s="79">
        <f t="array" ref="G126">IFERROR(INDEX('02_DS_Nhan_Viec'!$K:$K,MATCH(121,'02_DS_Nhan_Viec'!$L:$L,0)),"")</f>
      </c>
      <c r="H126" s="61">
        <f t="array" ref="H126">IF($B126="","",IF(IFERROR(INDEX('02_DS_Nhan_Viec'!$J:$J,MATCH($B126,'02_DS_Nhan_Viec'!$B:$B,0)),"")="","Đang theo dõi",IF(OR(IFERROR(INDEX('05_Theo_Doi_Gio_Cong_7_Ngay'!$R:$R,MATCH(IFERROR(INDEX('02_DS_Nhan_Viec'!$J:$J,MATCH($B126,'02_DS_Nhan_Viec'!$B:$B,0)),""),'05_Theo_Doi_Gio_Cong_7_Ngay'!$B:$B,0)),"")="",IFERROR(INDEX('05_Theo_Doi_Gio_Cong_7_Ngay'!$R:$R,MATCH(IFERROR(INDEX('02_DS_Nhan_Viec'!$J:$J,MATCH($B126,'02_DS_Nhan_Viec'!$B:$B,0)),""),'05_Theo_Doi_Gio_Cong_7_Ngay'!$B:$B,0)),0)=0),"Đang theo dõi",IFERROR(INDEX('06_DS_Chinh_Thuc'!$K:$K,MATCH(IFERROR(INDEX('05_Theo_Doi_Gio_Cong_7_Ngay'!$R:$R,MATCH(IFERROR(INDEX('02_DS_Nhan_Viec'!$J:$J,MATCH($B126,'02_DS_Nhan_Viec'!$B:$B,0)),""),'05_Theo_Doi_Gio_Cong_7_Ngay'!$B:$B,0)),0),'06_DS_Chinh_Thuc'!$B:$B,0)),"Đang theo dõi"))))</f>
      </c>
    </row>
    <row r="127" ht="14.25" customHeight="1" spans="1:8" x14ac:dyDescent="0.25">
      <c r="A127" s="78">
        <v>122</v>
      </c>
      <c r="B127" s="79">
        <f t="array" ref="B127">IFERROR(INDEX('02_DS_Nhan_Viec'!$B:$B,MATCH(122,'02_DS_Nhan_Viec'!$L:$L,0)),"")</f>
      </c>
      <c r="C127" s="79">
        <f t="array" ref="C127">IFERROR(INDEX('02_DS_Nhan_Viec'!$C:$C,MATCH(122,'02_DS_Nhan_Viec'!$L:$L,0)),"")</f>
      </c>
      <c r="D127" s="80">
        <f t="array" ref="D127">IFERROR(INDEX('02_DS_Nhan_Viec'!$D:$D,MATCH(122,'02_DS_Nhan_Viec'!$L:$L,0)),"")</f>
      </c>
      <c r="E127" s="80">
        <f t="array" ref="E127">IFERROR(INDEX('02_DS_Nhan_Viec'!$E:$E,MATCH(122,'02_DS_Nhan_Viec'!$L:$L,0)),"")</f>
      </c>
      <c r="F127" s="79">
        <f t="array" ref="F127">IFERROR(INDEX('02_DS_Nhan_Viec'!$F:$F,MATCH(122,'02_DS_Nhan_Viec'!$L:$L,0)),"")</f>
      </c>
      <c r="G127" s="79">
        <f t="array" ref="G127">IFERROR(INDEX('02_DS_Nhan_Viec'!$K:$K,MATCH(122,'02_DS_Nhan_Viec'!$L:$L,0)),"")</f>
      </c>
      <c r="H127" s="61">
        <f t="array" ref="H127">IF($B127="","",IF(IFERROR(INDEX('02_DS_Nhan_Viec'!$J:$J,MATCH($B127,'02_DS_Nhan_Viec'!$B:$B,0)),"")="","Đang theo dõi",IF(OR(IFERROR(INDEX('05_Theo_Doi_Gio_Cong_7_Ngay'!$R:$R,MATCH(IFERROR(INDEX('02_DS_Nhan_Viec'!$J:$J,MATCH($B127,'02_DS_Nhan_Viec'!$B:$B,0)),""),'05_Theo_Doi_Gio_Cong_7_Ngay'!$B:$B,0)),"")="",IFERROR(INDEX('05_Theo_Doi_Gio_Cong_7_Ngay'!$R:$R,MATCH(IFERROR(INDEX('02_DS_Nhan_Viec'!$J:$J,MATCH($B127,'02_DS_Nhan_Viec'!$B:$B,0)),""),'05_Theo_Doi_Gio_Cong_7_Ngay'!$B:$B,0)),0)=0),"Đang theo dõi",IFERROR(INDEX('06_DS_Chinh_Thuc'!$K:$K,MATCH(IFERROR(INDEX('05_Theo_Doi_Gio_Cong_7_Ngay'!$R:$R,MATCH(IFERROR(INDEX('02_DS_Nhan_Viec'!$J:$J,MATCH($B127,'02_DS_Nhan_Viec'!$B:$B,0)),""),'05_Theo_Doi_Gio_Cong_7_Ngay'!$B:$B,0)),0),'06_DS_Chinh_Thuc'!$B:$B,0)),"Đang theo dõi"))))</f>
      </c>
    </row>
    <row r="128" ht="14.25" customHeight="1" spans="1:8" x14ac:dyDescent="0.25">
      <c r="A128" s="78">
        <v>123</v>
      </c>
      <c r="B128" s="79">
        <f t="array" ref="B128">IFERROR(INDEX('02_DS_Nhan_Viec'!$B:$B,MATCH(123,'02_DS_Nhan_Viec'!$L:$L,0)),"")</f>
      </c>
      <c r="C128" s="79">
        <f t="array" ref="C128">IFERROR(INDEX('02_DS_Nhan_Viec'!$C:$C,MATCH(123,'02_DS_Nhan_Viec'!$L:$L,0)),"")</f>
      </c>
      <c r="D128" s="80">
        <f t="array" ref="D128">IFERROR(INDEX('02_DS_Nhan_Viec'!$D:$D,MATCH(123,'02_DS_Nhan_Viec'!$L:$L,0)),"")</f>
      </c>
      <c r="E128" s="80">
        <f t="array" ref="E128">IFERROR(INDEX('02_DS_Nhan_Viec'!$E:$E,MATCH(123,'02_DS_Nhan_Viec'!$L:$L,0)),"")</f>
      </c>
      <c r="F128" s="79">
        <f t="array" ref="F128">IFERROR(INDEX('02_DS_Nhan_Viec'!$F:$F,MATCH(123,'02_DS_Nhan_Viec'!$L:$L,0)),"")</f>
      </c>
      <c r="G128" s="79">
        <f t="array" ref="G128">IFERROR(INDEX('02_DS_Nhan_Viec'!$K:$K,MATCH(123,'02_DS_Nhan_Viec'!$L:$L,0)),"")</f>
      </c>
      <c r="H128" s="61">
        <f t="array" ref="H128">IF($B128="","",IF(IFERROR(INDEX('02_DS_Nhan_Viec'!$J:$J,MATCH($B128,'02_DS_Nhan_Viec'!$B:$B,0)),"")="","Đang theo dõi",IF(OR(IFERROR(INDEX('05_Theo_Doi_Gio_Cong_7_Ngay'!$R:$R,MATCH(IFERROR(INDEX('02_DS_Nhan_Viec'!$J:$J,MATCH($B128,'02_DS_Nhan_Viec'!$B:$B,0)),""),'05_Theo_Doi_Gio_Cong_7_Ngay'!$B:$B,0)),"")="",IFERROR(INDEX('05_Theo_Doi_Gio_Cong_7_Ngay'!$R:$R,MATCH(IFERROR(INDEX('02_DS_Nhan_Viec'!$J:$J,MATCH($B128,'02_DS_Nhan_Viec'!$B:$B,0)),""),'05_Theo_Doi_Gio_Cong_7_Ngay'!$B:$B,0)),0)=0),"Đang theo dõi",IFERROR(INDEX('06_DS_Chinh_Thuc'!$K:$K,MATCH(IFERROR(INDEX('05_Theo_Doi_Gio_Cong_7_Ngay'!$R:$R,MATCH(IFERROR(INDEX('02_DS_Nhan_Viec'!$J:$J,MATCH($B128,'02_DS_Nhan_Viec'!$B:$B,0)),""),'05_Theo_Doi_Gio_Cong_7_Ngay'!$B:$B,0)),0),'06_DS_Chinh_Thuc'!$B:$B,0)),"Đang theo dõi"))))</f>
      </c>
    </row>
    <row r="129" ht="14.25" customHeight="1" spans="1:8" x14ac:dyDescent="0.25">
      <c r="A129" s="78">
        <v>124</v>
      </c>
      <c r="B129" s="79">
        <f t="array" ref="B129">IFERROR(INDEX('02_DS_Nhan_Viec'!$B:$B,MATCH(124,'02_DS_Nhan_Viec'!$L:$L,0)),"")</f>
      </c>
      <c r="C129" s="79">
        <f t="array" ref="C129">IFERROR(INDEX('02_DS_Nhan_Viec'!$C:$C,MATCH(124,'02_DS_Nhan_Viec'!$L:$L,0)),"")</f>
      </c>
      <c r="D129" s="80">
        <f t="array" ref="D129">IFERROR(INDEX('02_DS_Nhan_Viec'!$D:$D,MATCH(124,'02_DS_Nhan_Viec'!$L:$L,0)),"")</f>
      </c>
      <c r="E129" s="80">
        <f t="array" ref="E129">IFERROR(INDEX('02_DS_Nhan_Viec'!$E:$E,MATCH(124,'02_DS_Nhan_Viec'!$L:$L,0)),"")</f>
      </c>
      <c r="F129" s="79">
        <f t="array" ref="F129">IFERROR(INDEX('02_DS_Nhan_Viec'!$F:$F,MATCH(124,'02_DS_Nhan_Viec'!$L:$L,0)),"")</f>
      </c>
      <c r="G129" s="79">
        <f t="array" ref="G129">IFERROR(INDEX('02_DS_Nhan_Viec'!$K:$K,MATCH(124,'02_DS_Nhan_Viec'!$L:$L,0)),"")</f>
      </c>
      <c r="H129" s="61">
        <f t="array" ref="H129">IF($B129="","",IF(IFERROR(INDEX('02_DS_Nhan_Viec'!$J:$J,MATCH($B129,'02_DS_Nhan_Viec'!$B:$B,0)),"")="","Đang theo dõi",IF(OR(IFERROR(INDEX('05_Theo_Doi_Gio_Cong_7_Ngay'!$R:$R,MATCH(IFERROR(INDEX('02_DS_Nhan_Viec'!$J:$J,MATCH($B129,'02_DS_Nhan_Viec'!$B:$B,0)),""),'05_Theo_Doi_Gio_Cong_7_Ngay'!$B:$B,0)),"")="",IFERROR(INDEX('05_Theo_Doi_Gio_Cong_7_Ngay'!$R:$R,MATCH(IFERROR(INDEX('02_DS_Nhan_Viec'!$J:$J,MATCH($B129,'02_DS_Nhan_Viec'!$B:$B,0)),""),'05_Theo_Doi_Gio_Cong_7_Ngay'!$B:$B,0)),0)=0),"Đang theo dõi",IFERROR(INDEX('06_DS_Chinh_Thuc'!$K:$K,MATCH(IFERROR(INDEX('05_Theo_Doi_Gio_Cong_7_Ngay'!$R:$R,MATCH(IFERROR(INDEX('02_DS_Nhan_Viec'!$J:$J,MATCH($B129,'02_DS_Nhan_Viec'!$B:$B,0)),""),'05_Theo_Doi_Gio_Cong_7_Ngay'!$B:$B,0)),0),'06_DS_Chinh_Thuc'!$B:$B,0)),"Đang theo dõi"))))</f>
      </c>
    </row>
    <row r="130" ht="14.25" customHeight="1" spans="1:8" x14ac:dyDescent="0.25">
      <c r="A130" s="78">
        <v>125</v>
      </c>
      <c r="B130" s="79">
        <f t="array" ref="B130">IFERROR(INDEX('02_DS_Nhan_Viec'!$B:$B,MATCH(125,'02_DS_Nhan_Viec'!$L:$L,0)),"")</f>
      </c>
      <c r="C130" s="79">
        <f t="array" ref="C130">IFERROR(INDEX('02_DS_Nhan_Viec'!$C:$C,MATCH(125,'02_DS_Nhan_Viec'!$L:$L,0)),"")</f>
      </c>
      <c r="D130" s="80">
        <f t="array" ref="D130">IFERROR(INDEX('02_DS_Nhan_Viec'!$D:$D,MATCH(125,'02_DS_Nhan_Viec'!$L:$L,0)),"")</f>
      </c>
      <c r="E130" s="80">
        <f t="array" ref="E130">IFERROR(INDEX('02_DS_Nhan_Viec'!$E:$E,MATCH(125,'02_DS_Nhan_Viec'!$L:$L,0)),"")</f>
      </c>
      <c r="F130" s="79">
        <f t="array" ref="F130">IFERROR(INDEX('02_DS_Nhan_Viec'!$F:$F,MATCH(125,'02_DS_Nhan_Viec'!$L:$L,0)),"")</f>
      </c>
      <c r="G130" s="79">
        <f t="array" ref="G130">IFERROR(INDEX('02_DS_Nhan_Viec'!$K:$K,MATCH(125,'02_DS_Nhan_Viec'!$L:$L,0)),"")</f>
      </c>
      <c r="H130" s="61">
        <f t="array" ref="H130">IF($B130="","",IF(IFERROR(INDEX('02_DS_Nhan_Viec'!$J:$J,MATCH($B130,'02_DS_Nhan_Viec'!$B:$B,0)),"")="","Đang theo dõi",IF(OR(IFERROR(INDEX('05_Theo_Doi_Gio_Cong_7_Ngay'!$R:$R,MATCH(IFERROR(INDEX('02_DS_Nhan_Viec'!$J:$J,MATCH($B130,'02_DS_Nhan_Viec'!$B:$B,0)),""),'05_Theo_Doi_Gio_Cong_7_Ngay'!$B:$B,0)),"")="",IFERROR(INDEX('05_Theo_Doi_Gio_Cong_7_Ngay'!$R:$R,MATCH(IFERROR(INDEX('02_DS_Nhan_Viec'!$J:$J,MATCH($B130,'02_DS_Nhan_Viec'!$B:$B,0)),""),'05_Theo_Doi_Gio_Cong_7_Ngay'!$B:$B,0)),0)=0),"Đang theo dõi",IFERROR(INDEX('06_DS_Chinh_Thuc'!$K:$K,MATCH(IFERROR(INDEX('05_Theo_Doi_Gio_Cong_7_Ngay'!$R:$R,MATCH(IFERROR(INDEX('02_DS_Nhan_Viec'!$J:$J,MATCH($B130,'02_DS_Nhan_Viec'!$B:$B,0)),""),'05_Theo_Doi_Gio_Cong_7_Ngay'!$B:$B,0)),0),'06_DS_Chinh_Thuc'!$B:$B,0)),"Đang theo dõi"))))</f>
      </c>
    </row>
    <row r="131" ht="14.25" customHeight="1" spans="1:8" x14ac:dyDescent="0.25">
      <c r="A131" s="78">
        <v>126</v>
      </c>
      <c r="B131" s="79">
        <f t="array" ref="B131">IFERROR(INDEX('02_DS_Nhan_Viec'!$B:$B,MATCH(126,'02_DS_Nhan_Viec'!$L:$L,0)),"")</f>
      </c>
      <c r="C131" s="79">
        <f t="array" ref="C131">IFERROR(INDEX('02_DS_Nhan_Viec'!$C:$C,MATCH(126,'02_DS_Nhan_Viec'!$L:$L,0)),"")</f>
      </c>
      <c r="D131" s="80">
        <f t="array" ref="D131">IFERROR(INDEX('02_DS_Nhan_Viec'!$D:$D,MATCH(126,'02_DS_Nhan_Viec'!$L:$L,0)),"")</f>
      </c>
      <c r="E131" s="80">
        <f t="array" ref="E131">IFERROR(INDEX('02_DS_Nhan_Viec'!$E:$E,MATCH(126,'02_DS_Nhan_Viec'!$L:$L,0)),"")</f>
      </c>
      <c r="F131" s="79">
        <f t="array" ref="F131">IFERROR(INDEX('02_DS_Nhan_Viec'!$F:$F,MATCH(126,'02_DS_Nhan_Viec'!$L:$L,0)),"")</f>
      </c>
      <c r="G131" s="79">
        <f t="array" ref="G131">IFERROR(INDEX('02_DS_Nhan_Viec'!$K:$K,MATCH(126,'02_DS_Nhan_Viec'!$L:$L,0)),"")</f>
      </c>
      <c r="H131" s="61">
        <f t="array" ref="H131">IF($B131="","",IF(IFERROR(INDEX('02_DS_Nhan_Viec'!$J:$J,MATCH($B131,'02_DS_Nhan_Viec'!$B:$B,0)),"")="","Đang theo dõi",IF(OR(IFERROR(INDEX('05_Theo_Doi_Gio_Cong_7_Ngay'!$R:$R,MATCH(IFERROR(INDEX('02_DS_Nhan_Viec'!$J:$J,MATCH($B131,'02_DS_Nhan_Viec'!$B:$B,0)),""),'05_Theo_Doi_Gio_Cong_7_Ngay'!$B:$B,0)),"")="",IFERROR(INDEX('05_Theo_Doi_Gio_Cong_7_Ngay'!$R:$R,MATCH(IFERROR(INDEX('02_DS_Nhan_Viec'!$J:$J,MATCH($B131,'02_DS_Nhan_Viec'!$B:$B,0)),""),'05_Theo_Doi_Gio_Cong_7_Ngay'!$B:$B,0)),0)=0),"Đang theo dõi",IFERROR(INDEX('06_DS_Chinh_Thuc'!$K:$K,MATCH(IFERROR(INDEX('05_Theo_Doi_Gio_Cong_7_Ngay'!$R:$R,MATCH(IFERROR(INDEX('02_DS_Nhan_Viec'!$J:$J,MATCH($B131,'02_DS_Nhan_Viec'!$B:$B,0)),""),'05_Theo_Doi_Gio_Cong_7_Ngay'!$B:$B,0)),0),'06_DS_Chinh_Thuc'!$B:$B,0)),"Đang theo dõi"))))</f>
      </c>
    </row>
    <row r="132" ht="14.25" customHeight="1" spans="1:8" x14ac:dyDescent="0.25">
      <c r="A132" s="78">
        <v>127</v>
      </c>
      <c r="B132" s="79">
        <f t="array" ref="B132">IFERROR(INDEX('02_DS_Nhan_Viec'!$B:$B,MATCH(127,'02_DS_Nhan_Viec'!$L:$L,0)),"")</f>
      </c>
      <c r="C132" s="79">
        <f t="array" ref="C132">IFERROR(INDEX('02_DS_Nhan_Viec'!$C:$C,MATCH(127,'02_DS_Nhan_Viec'!$L:$L,0)),"")</f>
      </c>
      <c r="D132" s="80">
        <f t="array" ref="D132">IFERROR(INDEX('02_DS_Nhan_Viec'!$D:$D,MATCH(127,'02_DS_Nhan_Viec'!$L:$L,0)),"")</f>
      </c>
      <c r="E132" s="80">
        <f t="array" ref="E132">IFERROR(INDEX('02_DS_Nhan_Viec'!$E:$E,MATCH(127,'02_DS_Nhan_Viec'!$L:$L,0)),"")</f>
      </c>
      <c r="F132" s="79">
        <f t="array" ref="F132">IFERROR(INDEX('02_DS_Nhan_Viec'!$F:$F,MATCH(127,'02_DS_Nhan_Viec'!$L:$L,0)),"")</f>
      </c>
      <c r="G132" s="79">
        <f t="array" ref="G132">IFERROR(INDEX('02_DS_Nhan_Viec'!$K:$K,MATCH(127,'02_DS_Nhan_Viec'!$L:$L,0)),"")</f>
      </c>
      <c r="H132" s="61">
        <f t="array" ref="H132">IF($B132="","",IF(IFERROR(INDEX('02_DS_Nhan_Viec'!$J:$J,MATCH($B132,'02_DS_Nhan_Viec'!$B:$B,0)),"")="","Đang theo dõi",IF(OR(IFERROR(INDEX('05_Theo_Doi_Gio_Cong_7_Ngay'!$R:$R,MATCH(IFERROR(INDEX('02_DS_Nhan_Viec'!$J:$J,MATCH($B132,'02_DS_Nhan_Viec'!$B:$B,0)),""),'05_Theo_Doi_Gio_Cong_7_Ngay'!$B:$B,0)),"")="",IFERROR(INDEX('05_Theo_Doi_Gio_Cong_7_Ngay'!$R:$R,MATCH(IFERROR(INDEX('02_DS_Nhan_Viec'!$J:$J,MATCH($B132,'02_DS_Nhan_Viec'!$B:$B,0)),""),'05_Theo_Doi_Gio_Cong_7_Ngay'!$B:$B,0)),0)=0),"Đang theo dõi",IFERROR(INDEX('06_DS_Chinh_Thuc'!$K:$K,MATCH(IFERROR(INDEX('05_Theo_Doi_Gio_Cong_7_Ngay'!$R:$R,MATCH(IFERROR(INDEX('02_DS_Nhan_Viec'!$J:$J,MATCH($B132,'02_DS_Nhan_Viec'!$B:$B,0)),""),'05_Theo_Doi_Gio_Cong_7_Ngay'!$B:$B,0)),0),'06_DS_Chinh_Thuc'!$B:$B,0)),"Đang theo dõi"))))</f>
      </c>
    </row>
    <row r="133" ht="14.25" customHeight="1" spans="1:8" x14ac:dyDescent="0.25">
      <c r="A133" s="78">
        <v>128</v>
      </c>
      <c r="B133" s="79">
        <f t="array" ref="B133">IFERROR(INDEX('02_DS_Nhan_Viec'!$B:$B,MATCH(128,'02_DS_Nhan_Viec'!$L:$L,0)),"")</f>
      </c>
      <c r="C133" s="79">
        <f t="array" ref="C133">IFERROR(INDEX('02_DS_Nhan_Viec'!$C:$C,MATCH(128,'02_DS_Nhan_Viec'!$L:$L,0)),"")</f>
      </c>
      <c r="D133" s="80">
        <f t="array" ref="D133">IFERROR(INDEX('02_DS_Nhan_Viec'!$D:$D,MATCH(128,'02_DS_Nhan_Viec'!$L:$L,0)),"")</f>
      </c>
      <c r="E133" s="80">
        <f t="array" ref="E133">IFERROR(INDEX('02_DS_Nhan_Viec'!$E:$E,MATCH(128,'02_DS_Nhan_Viec'!$L:$L,0)),"")</f>
      </c>
      <c r="F133" s="79">
        <f t="array" ref="F133">IFERROR(INDEX('02_DS_Nhan_Viec'!$F:$F,MATCH(128,'02_DS_Nhan_Viec'!$L:$L,0)),"")</f>
      </c>
      <c r="G133" s="79">
        <f t="array" ref="G133">IFERROR(INDEX('02_DS_Nhan_Viec'!$K:$K,MATCH(128,'02_DS_Nhan_Viec'!$L:$L,0)),"")</f>
      </c>
      <c r="H133" s="61">
        <f t="array" ref="H133">IF($B133="","",IF(IFERROR(INDEX('02_DS_Nhan_Viec'!$J:$J,MATCH($B133,'02_DS_Nhan_Viec'!$B:$B,0)),"")="","Đang theo dõi",IF(OR(IFERROR(INDEX('05_Theo_Doi_Gio_Cong_7_Ngay'!$R:$R,MATCH(IFERROR(INDEX('02_DS_Nhan_Viec'!$J:$J,MATCH($B133,'02_DS_Nhan_Viec'!$B:$B,0)),""),'05_Theo_Doi_Gio_Cong_7_Ngay'!$B:$B,0)),"")="",IFERROR(INDEX('05_Theo_Doi_Gio_Cong_7_Ngay'!$R:$R,MATCH(IFERROR(INDEX('02_DS_Nhan_Viec'!$J:$J,MATCH($B133,'02_DS_Nhan_Viec'!$B:$B,0)),""),'05_Theo_Doi_Gio_Cong_7_Ngay'!$B:$B,0)),0)=0),"Đang theo dõi",IFERROR(INDEX('06_DS_Chinh_Thuc'!$K:$K,MATCH(IFERROR(INDEX('05_Theo_Doi_Gio_Cong_7_Ngay'!$R:$R,MATCH(IFERROR(INDEX('02_DS_Nhan_Viec'!$J:$J,MATCH($B133,'02_DS_Nhan_Viec'!$B:$B,0)),""),'05_Theo_Doi_Gio_Cong_7_Ngay'!$B:$B,0)),0),'06_DS_Chinh_Thuc'!$B:$B,0)),"Đang theo dõi"))))</f>
      </c>
    </row>
    <row r="134" ht="14.25" customHeight="1" spans="1:8" x14ac:dyDescent="0.25">
      <c r="A134" s="78">
        <v>129</v>
      </c>
      <c r="B134" s="79">
        <f t="array" ref="B134">IFERROR(INDEX('02_DS_Nhan_Viec'!$B:$B,MATCH(129,'02_DS_Nhan_Viec'!$L:$L,0)),"")</f>
      </c>
      <c r="C134" s="79">
        <f t="array" ref="C134">IFERROR(INDEX('02_DS_Nhan_Viec'!$C:$C,MATCH(129,'02_DS_Nhan_Viec'!$L:$L,0)),"")</f>
      </c>
      <c r="D134" s="80">
        <f t="array" ref="D134">IFERROR(INDEX('02_DS_Nhan_Viec'!$D:$D,MATCH(129,'02_DS_Nhan_Viec'!$L:$L,0)),"")</f>
      </c>
      <c r="E134" s="80">
        <f t="array" ref="E134">IFERROR(INDEX('02_DS_Nhan_Viec'!$E:$E,MATCH(129,'02_DS_Nhan_Viec'!$L:$L,0)),"")</f>
      </c>
      <c r="F134" s="79">
        <f t="array" ref="F134">IFERROR(INDEX('02_DS_Nhan_Viec'!$F:$F,MATCH(129,'02_DS_Nhan_Viec'!$L:$L,0)),"")</f>
      </c>
      <c r="G134" s="79">
        <f t="array" ref="G134">IFERROR(INDEX('02_DS_Nhan_Viec'!$K:$K,MATCH(129,'02_DS_Nhan_Viec'!$L:$L,0)),"")</f>
      </c>
      <c r="H134" s="61">
        <f t="array" ref="H134">IF($B134="","",IF(IFERROR(INDEX('02_DS_Nhan_Viec'!$J:$J,MATCH($B134,'02_DS_Nhan_Viec'!$B:$B,0)),"")="","Đang theo dõi",IF(OR(IFERROR(INDEX('05_Theo_Doi_Gio_Cong_7_Ngay'!$R:$R,MATCH(IFERROR(INDEX('02_DS_Nhan_Viec'!$J:$J,MATCH($B134,'02_DS_Nhan_Viec'!$B:$B,0)),""),'05_Theo_Doi_Gio_Cong_7_Ngay'!$B:$B,0)),"")="",IFERROR(INDEX('05_Theo_Doi_Gio_Cong_7_Ngay'!$R:$R,MATCH(IFERROR(INDEX('02_DS_Nhan_Viec'!$J:$J,MATCH($B134,'02_DS_Nhan_Viec'!$B:$B,0)),""),'05_Theo_Doi_Gio_Cong_7_Ngay'!$B:$B,0)),0)=0),"Đang theo dõi",IFERROR(INDEX('06_DS_Chinh_Thuc'!$K:$K,MATCH(IFERROR(INDEX('05_Theo_Doi_Gio_Cong_7_Ngay'!$R:$R,MATCH(IFERROR(INDEX('02_DS_Nhan_Viec'!$J:$J,MATCH($B134,'02_DS_Nhan_Viec'!$B:$B,0)),""),'05_Theo_Doi_Gio_Cong_7_Ngay'!$B:$B,0)),0),'06_DS_Chinh_Thuc'!$B:$B,0)),"Đang theo dõi"))))</f>
      </c>
    </row>
    <row r="135" ht="14.25" customHeight="1" spans="1:8" x14ac:dyDescent="0.25">
      <c r="A135" s="78">
        <v>130</v>
      </c>
      <c r="B135" s="79">
        <f t="array" ref="B135">IFERROR(INDEX('02_DS_Nhan_Viec'!$B:$B,MATCH(130,'02_DS_Nhan_Viec'!$L:$L,0)),"")</f>
      </c>
      <c r="C135" s="79">
        <f t="array" ref="C135">IFERROR(INDEX('02_DS_Nhan_Viec'!$C:$C,MATCH(130,'02_DS_Nhan_Viec'!$L:$L,0)),"")</f>
      </c>
      <c r="D135" s="80">
        <f t="array" ref="D135">IFERROR(INDEX('02_DS_Nhan_Viec'!$D:$D,MATCH(130,'02_DS_Nhan_Viec'!$L:$L,0)),"")</f>
      </c>
      <c r="E135" s="80">
        <f t="array" ref="E135">IFERROR(INDEX('02_DS_Nhan_Viec'!$E:$E,MATCH(130,'02_DS_Nhan_Viec'!$L:$L,0)),"")</f>
      </c>
      <c r="F135" s="79">
        <f t="array" ref="F135">IFERROR(INDEX('02_DS_Nhan_Viec'!$F:$F,MATCH(130,'02_DS_Nhan_Viec'!$L:$L,0)),"")</f>
      </c>
      <c r="G135" s="79">
        <f t="array" ref="G135">IFERROR(INDEX('02_DS_Nhan_Viec'!$K:$K,MATCH(130,'02_DS_Nhan_Viec'!$L:$L,0)),"")</f>
      </c>
      <c r="H135" s="61">
        <f t="array" ref="H135">IF($B135="","",IF(IFERROR(INDEX('02_DS_Nhan_Viec'!$J:$J,MATCH($B135,'02_DS_Nhan_Viec'!$B:$B,0)),"")="","Đang theo dõi",IF(OR(IFERROR(INDEX('05_Theo_Doi_Gio_Cong_7_Ngay'!$R:$R,MATCH(IFERROR(INDEX('02_DS_Nhan_Viec'!$J:$J,MATCH($B135,'02_DS_Nhan_Viec'!$B:$B,0)),""),'05_Theo_Doi_Gio_Cong_7_Ngay'!$B:$B,0)),"")="",IFERROR(INDEX('05_Theo_Doi_Gio_Cong_7_Ngay'!$R:$R,MATCH(IFERROR(INDEX('02_DS_Nhan_Viec'!$J:$J,MATCH($B135,'02_DS_Nhan_Viec'!$B:$B,0)),""),'05_Theo_Doi_Gio_Cong_7_Ngay'!$B:$B,0)),0)=0),"Đang theo dõi",IFERROR(INDEX('06_DS_Chinh_Thuc'!$K:$K,MATCH(IFERROR(INDEX('05_Theo_Doi_Gio_Cong_7_Ngay'!$R:$R,MATCH(IFERROR(INDEX('02_DS_Nhan_Viec'!$J:$J,MATCH($B135,'02_DS_Nhan_Viec'!$B:$B,0)),""),'05_Theo_Doi_Gio_Cong_7_Ngay'!$B:$B,0)),0),'06_DS_Chinh_Thuc'!$B:$B,0)),"Đang theo dõi"))))</f>
      </c>
    </row>
    <row r="136" ht="14.25" customHeight="1" spans="1:8" x14ac:dyDescent="0.25">
      <c r="A136" s="78">
        <v>131</v>
      </c>
      <c r="B136" s="79">
        <f t="array" ref="B136">IFERROR(INDEX('02_DS_Nhan_Viec'!$B:$B,MATCH(131,'02_DS_Nhan_Viec'!$L:$L,0)),"")</f>
      </c>
      <c r="C136" s="79">
        <f t="array" ref="C136">IFERROR(INDEX('02_DS_Nhan_Viec'!$C:$C,MATCH(131,'02_DS_Nhan_Viec'!$L:$L,0)),"")</f>
      </c>
      <c r="D136" s="80">
        <f t="array" ref="D136">IFERROR(INDEX('02_DS_Nhan_Viec'!$D:$D,MATCH(131,'02_DS_Nhan_Viec'!$L:$L,0)),"")</f>
      </c>
      <c r="E136" s="80">
        <f t="array" ref="E136">IFERROR(INDEX('02_DS_Nhan_Viec'!$E:$E,MATCH(131,'02_DS_Nhan_Viec'!$L:$L,0)),"")</f>
      </c>
      <c r="F136" s="79">
        <f t="array" ref="F136">IFERROR(INDEX('02_DS_Nhan_Viec'!$F:$F,MATCH(131,'02_DS_Nhan_Viec'!$L:$L,0)),"")</f>
      </c>
      <c r="G136" s="79">
        <f t="array" ref="G136">IFERROR(INDEX('02_DS_Nhan_Viec'!$K:$K,MATCH(131,'02_DS_Nhan_Viec'!$L:$L,0)),"")</f>
      </c>
      <c r="H136" s="61">
        <f t="array" ref="H136">IF($B136="","",IF(IFERROR(INDEX('02_DS_Nhan_Viec'!$J:$J,MATCH($B136,'02_DS_Nhan_Viec'!$B:$B,0)),"")="","Đang theo dõi",IF(OR(IFERROR(INDEX('05_Theo_Doi_Gio_Cong_7_Ngay'!$R:$R,MATCH(IFERROR(INDEX('02_DS_Nhan_Viec'!$J:$J,MATCH($B136,'02_DS_Nhan_Viec'!$B:$B,0)),""),'05_Theo_Doi_Gio_Cong_7_Ngay'!$B:$B,0)),"")="",IFERROR(INDEX('05_Theo_Doi_Gio_Cong_7_Ngay'!$R:$R,MATCH(IFERROR(INDEX('02_DS_Nhan_Viec'!$J:$J,MATCH($B136,'02_DS_Nhan_Viec'!$B:$B,0)),""),'05_Theo_Doi_Gio_Cong_7_Ngay'!$B:$B,0)),0)=0),"Đang theo dõi",IFERROR(INDEX('06_DS_Chinh_Thuc'!$K:$K,MATCH(IFERROR(INDEX('05_Theo_Doi_Gio_Cong_7_Ngay'!$R:$R,MATCH(IFERROR(INDEX('02_DS_Nhan_Viec'!$J:$J,MATCH($B136,'02_DS_Nhan_Viec'!$B:$B,0)),""),'05_Theo_Doi_Gio_Cong_7_Ngay'!$B:$B,0)),0),'06_DS_Chinh_Thuc'!$B:$B,0)),"Đang theo dõi"))))</f>
      </c>
    </row>
    <row r="137" ht="14.25" customHeight="1" spans="1:8" x14ac:dyDescent="0.25">
      <c r="A137" s="78">
        <v>132</v>
      </c>
      <c r="B137" s="79">
        <f t="array" ref="B137">IFERROR(INDEX('02_DS_Nhan_Viec'!$B:$B,MATCH(132,'02_DS_Nhan_Viec'!$L:$L,0)),"")</f>
      </c>
      <c r="C137" s="79">
        <f t="array" ref="C137">IFERROR(INDEX('02_DS_Nhan_Viec'!$C:$C,MATCH(132,'02_DS_Nhan_Viec'!$L:$L,0)),"")</f>
      </c>
      <c r="D137" s="80">
        <f t="array" ref="D137">IFERROR(INDEX('02_DS_Nhan_Viec'!$D:$D,MATCH(132,'02_DS_Nhan_Viec'!$L:$L,0)),"")</f>
      </c>
      <c r="E137" s="80">
        <f t="array" ref="E137">IFERROR(INDEX('02_DS_Nhan_Viec'!$E:$E,MATCH(132,'02_DS_Nhan_Viec'!$L:$L,0)),"")</f>
      </c>
      <c r="F137" s="79">
        <f t="array" ref="F137">IFERROR(INDEX('02_DS_Nhan_Viec'!$F:$F,MATCH(132,'02_DS_Nhan_Viec'!$L:$L,0)),"")</f>
      </c>
      <c r="G137" s="79">
        <f t="array" ref="G137">IFERROR(INDEX('02_DS_Nhan_Viec'!$K:$K,MATCH(132,'02_DS_Nhan_Viec'!$L:$L,0)),"")</f>
      </c>
      <c r="H137" s="61">
        <f t="array" ref="H137">IF($B137="","",IF(IFERROR(INDEX('02_DS_Nhan_Viec'!$J:$J,MATCH($B137,'02_DS_Nhan_Viec'!$B:$B,0)),"")="","Đang theo dõi",IF(OR(IFERROR(INDEX('05_Theo_Doi_Gio_Cong_7_Ngay'!$R:$R,MATCH(IFERROR(INDEX('02_DS_Nhan_Viec'!$J:$J,MATCH($B137,'02_DS_Nhan_Viec'!$B:$B,0)),""),'05_Theo_Doi_Gio_Cong_7_Ngay'!$B:$B,0)),"")="",IFERROR(INDEX('05_Theo_Doi_Gio_Cong_7_Ngay'!$R:$R,MATCH(IFERROR(INDEX('02_DS_Nhan_Viec'!$J:$J,MATCH($B137,'02_DS_Nhan_Viec'!$B:$B,0)),""),'05_Theo_Doi_Gio_Cong_7_Ngay'!$B:$B,0)),0)=0),"Đang theo dõi",IFERROR(INDEX('06_DS_Chinh_Thuc'!$K:$K,MATCH(IFERROR(INDEX('05_Theo_Doi_Gio_Cong_7_Ngay'!$R:$R,MATCH(IFERROR(INDEX('02_DS_Nhan_Viec'!$J:$J,MATCH($B137,'02_DS_Nhan_Viec'!$B:$B,0)),""),'05_Theo_Doi_Gio_Cong_7_Ngay'!$B:$B,0)),0),'06_DS_Chinh_Thuc'!$B:$B,0)),"Đang theo dõi"))))</f>
      </c>
    </row>
    <row r="138" ht="14.25" customHeight="1" spans="1:8" x14ac:dyDescent="0.25">
      <c r="A138" s="78">
        <v>133</v>
      </c>
      <c r="B138" s="79">
        <f t="array" ref="B138">IFERROR(INDEX('02_DS_Nhan_Viec'!$B:$B,MATCH(133,'02_DS_Nhan_Viec'!$L:$L,0)),"")</f>
      </c>
      <c r="C138" s="79">
        <f t="array" ref="C138">IFERROR(INDEX('02_DS_Nhan_Viec'!$C:$C,MATCH(133,'02_DS_Nhan_Viec'!$L:$L,0)),"")</f>
      </c>
      <c r="D138" s="80">
        <f t="array" ref="D138">IFERROR(INDEX('02_DS_Nhan_Viec'!$D:$D,MATCH(133,'02_DS_Nhan_Viec'!$L:$L,0)),"")</f>
      </c>
      <c r="E138" s="80">
        <f t="array" ref="E138">IFERROR(INDEX('02_DS_Nhan_Viec'!$E:$E,MATCH(133,'02_DS_Nhan_Viec'!$L:$L,0)),"")</f>
      </c>
      <c r="F138" s="79">
        <f t="array" ref="F138">IFERROR(INDEX('02_DS_Nhan_Viec'!$F:$F,MATCH(133,'02_DS_Nhan_Viec'!$L:$L,0)),"")</f>
      </c>
      <c r="G138" s="79">
        <f t="array" ref="G138">IFERROR(INDEX('02_DS_Nhan_Viec'!$K:$K,MATCH(133,'02_DS_Nhan_Viec'!$L:$L,0)),"")</f>
      </c>
      <c r="H138" s="61">
        <f t="array" ref="H138">IF($B138="","",IF(IFERROR(INDEX('02_DS_Nhan_Viec'!$J:$J,MATCH($B138,'02_DS_Nhan_Viec'!$B:$B,0)),"")="","Đang theo dõi",IF(OR(IFERROR(INDEX('05_Theo_Doi_Gio_Cong_7_Ngay'!$R:$R,MATCH(IFERROR(INDEX('02_DS_Nhan_Viec'!$J:$J,MATCH($B138,'02_DS_Nhan_Viec'!$B:$B,0)),""),'05_Theo_Doi_Gio_Cong_7_Ngay'!$B:$B,0)),"")="",IFERROR(INDEX('05_Theo_Doi_Gio_Cong_7_Ngay'!$R:$R,MATCH(IFERROR(INDEX('02_DS_Nhan_Viec'!$J:$J,MATCH($B138,'02_DS_Nhan_Viec'!$B:$B,0)),""),'05_Theo_Doi_Gio_Cong_7_Ngay'!$B:$B,0)),0)=0),"Đang theo dõi",IFERROR(INDEX('06_DS_Chinh_Thuc'!$K:$K,MATCH(IFERROR(INDEX('05_Theo_Doi_Gio_Cong_7_Ngay'!$R:$R,MATCH(IFERROR(INDEX('02_DS_Nhan_Viec'!$J:$J,MATCH($B138,'02_DS_Nhan_Viec'!$B:$B,0)),""),'05_Theo_Doi_Gio_Cong_7_Ngay'!$B:$B,0)),0),'06_DS_Chinh_Thuc'!$B:$B,0)),"Đang theo dõi"))))</f>
      </c>
    </row>
    <row r="139" ht="14.25" customHeight="1" spans="1:8" x14ac:dyDescent="0.25">
      <c r="A139" s="78">
        <v>134</v>
      </c>
      <c r="B139" s="79">
        <f t="array" ref="B139">IFERROR(INDEX('02_DS_Nhan_Viec'!$B:$B,MATCH(134,'02_DS_Nhan_Viec'!$L:$L,0)),"")</f>
      </c>
      <c r="C139" s="79">
        <f t="array" ref="C139">IFERROR(INDEX('02_DS_Nhan_Viec'!$C:$C,MATCH(134,'02_DS_Nhan_Viec'!$L:$L,0)),"")</f>
      </c>
      <c r="D139" s="80">
        <f t="array" ref="D139">IFERROR(INDEX('02_DS_Nhan_Viec'!$D:$D,MATCH(134,'02_DS_Nhan_Viec'!$L:$L,0)),"")</f>
      </c>
      <c r="E139" s="80">
        <f t="array" ref="E139">IFERROR(INDEX('02_DS_Nhan_Viec'!$E:$E,MATCH(134,'02_DS_Nhan_Viec'!$L:$L,0)),"")</f>
      </c>
      <c r="F139" s="79">
        <f t="array" ref="F139">IFERROR(INDEX('02_DS_Nhan_Viec'!$F:$F,MATCH(134,'02_DS_Nhan_Viec'!$L:$L,0)),"")</f>
      </c>
      <c r="G139" s="79">
        <f t="array" ref="G139">IFERROR(INDEX('02_DS_Nhan_Viec'!$K:$K,MATCH(134,'02_DS_Nhan_Viec'!$L:$L,0)),"")</f>
      </c>
      <c r="H139" s="61">
        <f t="array" ref="H139">IF($B139="","",IF(IFERROR(INDEX('02_DS_Nhan_Viec'!$J:$J,MATCH($B139,'02_DS_Nhan_Viec'!$B:$B,0)),"")="","Đang theo dõi",IF(OR(IFERROR(INDEX('05_Theo_Doi_Gio_Cong_7_Ngay'!$R:$R,MATCH(IFERROR(INDEX('02_DS_Nhan_Viec'!$J:$J,MATCH($B139,'02_DS_Nhan_Viec'!$B:$B,0)),""),'05_Theo_Doi_Gio_Cong_7_Ngay'!$B:$B,0)),"")="",IFERROR(INDEX('05_Theo_Doi_Gio_Cong_7_Ngay'!$R:$R,MATCH(IFERROR(INDEX('02_DS_Nhan_Viec'!$J:$J,MATCH($B139,'02_DS_Nhan_Viec'!$B:$B,0)),""),'05_Theo_Doi_Gio_Cong_7_Ngay'!$B:$B,0)),0)=0),"Đang theo dõi",IFERROR(INDEX('06_DS_Chinh_Thuc'!$K:$K,MATCH(IFERROR(INDEX('05_Theo_Doi_Gio_Cong_7_Ngay'!$R:$R,MATCH(IFERROR(INDEX('02_DS_Nhan_Viec'!$J:$J,MATCH($B139,'02_DS_Nhan_Viec'!$B:$B,0)),""),'05_Theo_Doi_Gio_Cong_7_Ngay'!$B:$B,0)),0),'06_DS_Chinh_Thuc'!$B:$B,0)),"Đang theo dõi"))))</f>
      </c>
    </row>
    <row r="140" ht="14.25" customHeight="1" spans="1:8" x14ac:dyDescent="0.25">
      <c r="A140" s="78">
        <v>135</v>
      </c>
      <c r="B140" s="79">
        <f t="array" ref="B140">IFERROR(INDEX('02_DS_Nhan_Viec'!$B:$B,MATCH(135,'02_DS_Nhan_Viec'!$L:$L,0)),"")</f>
      </c>
      <c r="C140" s="79">
        <f t="array" ref="C140">IFERROR(INDEX('02_DS_Nhan_Viec'!$C:$C,MATCH(135,'02_DS_Nhan_Viec'!$L:$L,0)),"")</f>
      </c>
      <c r="D140" s="80">
        <f t="array" ref="D140">IFERROR(INDEX('02_DS_Nhan_Viec'!$D:$D,MATCH(135,'02_DS_Nhan_Viec'!$L:$L,0)),"")</f>
      </c>
      <c r="E140" s="80">
        <f t="array" ref="E140">IFERROR(INDEX('02_DS_Nhan_Viec'!$E:$E,MATCH(135,'02_DS_Nhan_Viec'!$L:$L,0)),"")</f>
      </c>
      <c r="F140" s="79">
        <f t="array" ref="F140">IFERROR(INDEX('02_DS_Nhan_Viec'!$F:$F,MATCH(135,'02_DS_Nhan_Viec'!$L:$L,0)),"")</f>
      </c>
      <c r="G140" s="79">
        <f t="array" ref="G140">IFERROR(INDEX('02_DS_Nhan_Viec'!$K:$K,MATCH(135,'02_DS_Nhan_Viec'!$L:$L,0)),"")</f>
      </c>
      <c r="H140" s="61">
        <f t="array" ref="H140">IF($B140="","",IF(IFERROR(INDEX('02_DS_Nhan_Viec'!$J:$J,MATCH($B140,'02_DS_Nhan_Viec'!$B:$B,0)),"")="","Đang theo dõi",IF(OR(IFERROR(INDEX('05_Theo_Doi_Gio_Cong_7_Ngay'!$R:$R,MATCH(IFERROR(INDEX('02_DS_Nhan_Viec'!$J:$J,MATCH($B140,'02_DS_Nhan_Viec'!$B:$B,0)),""),'05_Theo_Doi_Gio_Cong_7_Ngay'!$B:$B,0)),"")="",IFERROR(INDEX('05_Theo_Doi_Gio_Cong_7_Ngay'!$R:$R,MATCH(IFERROR(INDEX('02_DS_Nhan_Viec'!$J:$J,MATCH($B140,'02_DS_Nhan_Viec'!$B:$B,0)),""),'05_Theo_Doi_Gio_Cong_7_Ngay'!$B:$B,0)),0)=0),"Đang theo dõi",IFERROR(INDEX('06_DS_Chinh_Thuc'!$K:$K,MATCH(IFERROR(INDEX('05_Theo_Doi_Gio_Cong_7_Ngay'!$R:$R,MATCH(IFERROR(INDEX('02_DS_Nhan_Viec'!$J:$J,MATCH($B140,'02_DS_Nhan_Viec'!$B:$B,0)),""),'05_Theo_Doi_Gio_Cong_7_Ngay'!$B:$B,0)),0),'06_DS_Chinh_Thuc'!$B:$B,0)),"Đang theo dõi"))))</f>
      </c>
    </row>
    <row r="141" ht="14.25" customHeight="1" spans="1:8" x14ac:dyDescent="0.25">
      <c r="A141" s="78">
        <v>136</v>
      </c>
      <c r="B141" s="79">
        <f t="array" ref="B141">IFERROR(INDEX('02_DS_Nhan_Viec'!$B:$B,MATCH(136,'02_DS_Nhan_Viec'!$L:$L,0)),"")</f>
      </c>
      <c r="C141" s="79">
        <f t="array" ref="C141">IFERROR(INDEX('02_DS_Nhan_Viec'!$C:$C,MATCH(136,'02_DS_Nhan_Viec'!$L:$L,0)),"")</f>
      </c>
      <c r="D141" s="80">
        <f t="array" ref="D141">IFERROR(INDEX('02_DS_Nhan_Viec'!$D:$D,MATCH(136,'02_DS_Nhan_Viec'!$L:$L,0)),"")</f>
      </c>
      <c r="E141" s="80">
        <f t="array" ref="E141">IFERROR(INDEX('02_DS_Nhan_Viec'!$E:$E,MATCH(136,'02_DS_Nhan_Viec'!$L:$L,0)),"")</f>
      </c>
      <c r="F141" s="79">
        <f t="array" ref="F141">IFERROR(INDEX('02_DS_Nhan_Viec'!$F:$F,MATCH(136,'02_DS_Nhan_Viec'!$L:$L,0)),"")</f>
      </c>
      <c r="G141" s="79">
        <f t="array" ref="G141">IFERROR(INDEX('02_DS_Nhan_Viec'!$K:$K,MATCH(136,'02_DS_Nhan_Viec'!$L:$L,0)),"")</f>
      </c>
      <c r="H141" s="61">
        <f t="array" ref="H141">IF($B141="","",IF(IFERROR(INDEX('02_DS_Nhan_Viec'!$J:$J,MATCH($B141,'02_DS_Nhan_Viec'!$B:$B,0)),"")="","Đang theo dõi",IF(OR(IFERROR(INDEX('05_Theo_Doi_Gio_Cong_7_Ngay'!$R:$R,MATCH(IFERROR(INDEX('02_DS_Nhan_Viec'!$J:$J,MATCH($B141,'02_DS_Nhan_Viec'!$B:$B,0)),""),'05_Theo_Doi_Gio_Cong_7_Ngay'!$B:$B,0)),"")="",IFERROR(INDEX('05_Theo_Doi_Gio_Cong_7_Ngay'!$R:$R,MATCH(IFERROR(INDEX('02_DS_Nhan_Viec'!$J:$J,MATCH($B141,'02_DS_Nhan_Viec'!$B:$B,0)),""),'05_Theo_Doi_Gio_Cong_7_Ngay'!$B:$B,0)),0)=0),"Đang theo dõi",IFERROR(INDEX('06_DS_Chinh_Thuc'!$K:$K,MATCH(IFERROR(INDEX('05_Theo_Doi_Gio_Cong_7_Ngay'!$R:$R,MATCH(IFERROR(INDEX('02_DS_Nhan_Viec'!$J:$J,MATCH($B141,'02_DS_Nhan_Viec'!$B:$B,0)),""),'05_Theo_Doi_Gio_Cong_7_Ngay'!$B:$B,0)),0),'06_DS_Chinh_Thuc'!$B:$B,0)),"Đang theo dõi"))))</f>
      </c>
    </row>
    <row r="142" ht="14.25" customHeight="1" spans="1:8" x14ac:dyDescent="0.25">
      <c r="A142" s="78">
        <v>137</v>
      </c>
      <c r="B142" s="79">
        <f t="array" ref="B142">IFERROR(INDEX('02_DS_Nhan_Viec'!$B:$B,MATCH(137,'02_DS_Nhan_Viec'!$L:$L,0)),"")</f>
      </c>
      <c r="C142" s="79">
        <f t="array" ref="C142">IFERROR(INDEX('02_DS_Nhan_Viec'!$C:$C,MATCH(137,'02_DS_Nhan_Viec'!$L:$L,0)),"")</f>
      </c>
      <c r="D142" s="80">
        <f t="array" ref="D142">IFERROR(INDEX('02_DS_Nhan_Viec'!$D:$D,MATCH(137,'02_DS_Nhan_Viec'!$L:$L,0)),"")</f>
      </c>
      <c r="E142" s="80">
        <f t="array" ref="E142">IFERROR(INDEX('02_DS_Nhan_Viec'!$E:$E,MATCH(137,'02_DS_Nhan_Viec'!$L:$L,0)),"")</f>
      </c>
      <c r="F142" s="79">
        <f t="array" ref="F142">IFERROR(INDEX('02_DS_Nhan_Viec'!$F:$F,MATCH(137,'02_DS_Nhan_Viec'!$L:$L,0)),"")</f>
      </c>
      <c r="G142" s="79">
        <f t="array" ref="G142">IFERROR(INDEX('02_DS_Nhan_Viec'!$K:$K,MATCH(137,'02_DS_Nhan_Viec'!$L:$L,0)),"")</f>
      </c>
      <c r="H142" s="61">
        <f t="array" ref="H142">IF($B142="","",IF(IFERROR(INDEX('02_DS_Nhan_Viec'!$J:$J,MATCH($B142,'02_DS_Nhan_Viec'!$B:$B,0)),"")="","Đang theo dõi",IF(OR(IFERROR(INDEX('05_Theo_Doi_Gio_Cong_7_Ngay'!$R:$R,MATCH(IFERROR(INDEX('02_DS_Nhan_Viec'!$J:$J,MATCH($B142,'02_DS_Nhan_Viec'!$B:$B,0)),""),'05_Theo_Doi_Gio_Cong_7_Ngay'!$B:$B,0)),"")="",IFERROR(INDEX('05_Theo_Doi_Gio_Cong_7_Ngay'!$R:$R,MATCH(IFERROR(INDEX('02_DS_Nhan_Viec'!$J:$J,MATCH($B142,'02_DS_Nhan_Viec'!$B:$B,0)),""),'05_Theo_Doi_Gio_Cong_7_Ngay'!$B:$B,0)),0)=0),"Đang theo dõi",IFERROR(INDEX('06_DS_Chinh_Thuc'!$K:$K,MATCH(IFERROR(INDEX('05_Theo_Doi_Gio_Cong_7_Ngay'!$R:$R,MATCH(IFERROR(INDEX('02_DS_Nhan_Viec'!$J:$J,MATCH($B142,'02_DS_Nhan_Viec'!$B:$B,0)),""),'05_Theo_Doi_Gio_Cong_7_Ngay'!$B:$B,0)),0),'06_DS_Chinh_Thuc'!$B:$B,0)),"Đang theo dõi"))))</f>
      </c>
    </row>
    <row r="143" ht="14.25" customHeight="1" spans="1:8" x14ac:dyDescent="0.25">
      <c r="A143" s="78">
        <v>138</v>
      </c>
      <c r="B143" s="79">
        <f t="array" ref="B143">IFERROR(INDEX('02_DS_Nhan_Viec'!$B:$B,MATCH(138,'02_DS_Nhan_Viec'!$L:$L,0)),"")</f>
      </c>
      <c r="C143" s="79">
        <f t="array" ref="C143">IFERROR(INDEX('02_DS_Nhan_Viec'!$C:$C,MATCH(138,'02_DS_Nhan_Viec'!$L:$L,0)),"")</f>
      </c>
      <c r="D143" s="80">
        <f t="array" ref="D143">IFERROR(INDEX('02_DS_Nhan_Viec'!$D:$D,MATCH(138,'02_DS_Nhan_Viec'!$L:$L,0)),"")</f>
      </c>
      <c r="E143" s="80">
        <f t="array" ref="E143">IFERROR(INDEX('02_DS_Nhan_Viec'!$E:$E,MATCH(138,'02_DS_Nhan_Viec'!$L:$L,0)),"")</f>
      </c>
      <c r="F143" s="79">
        <f t="array" ref="F143">IFERROR(INDEX('02_DS_Nhan_Viec'!$F:$F,MATCH(138,'02_DS_Nhan_Viec'!$L:$L,0)),"")</f>
      </c>
      <c r="G143" s="79">
        <f t="array" ref="G143">IFERROR(INDEX('02_DS_Nhan_Viec'!$K:$K,MATCH(138,'02_DS_Nhan_Viec'!$L:$L,0)),"")</f>
      </c>
      <c r="H143" s="61">
        <f t="array" ref="H143">IF($B143="","",IF(IFERROR(INDEX('02_DS_Nhan_Viec'!$J:$J,MATCH($B143,'02_DS_Nhan_Viec'!$B:$B,0)),"")="","Đang theo dõi",IF(OR(IFERROR(INDEX('05_Theo_Doi_Gio_Cong_7_Ngay'!$R:$R,MATCH(IFERROR(INDEX('02_DS_Nhan_Viec'!$J:$J,MATCH($B143,'02_DS_Nhan_Viec'!$B:$B,0)),""),'05_Theo_Doi_Gio_Cong_7_Ngay'!$B:$B,0)),"")="",IFERROR(INDEX('05_Theo_Doi_Gio_Cong_7_Ngay'!$R:$R,MATCH(IFERROR(INDEX('02_DS_Nhan_Viec'!$J:$J,MATCH($B143,'02_DS_Nhan_Viec'!$B:$B,0)),""),'05_Theo_Doi_Gio_Cong_7_Ngay'!$B:$B,0)),0)=0),"Đang theo dõi",IFERROR(INDEX('06_DS_Chinh_Thuc'!$K:$K,MATCH(IFERROR(INDEX('05_Theo_Doi_Gio_Cong_7_Ngay'!$R:$R,MATCH(IFERROR(INDEX('02_DS_Nhan_Viec'!$J:$J,MATCH($B143,'02_DS_Nhan_Viec'!$B:$B,0)),""),'05_Theo_Doi_Gio_Cong_7_Ngay'!$B:$B,0)),0),'06_DS_Chinh_Thuc'!$B:$B,0)),"Đang theo dõi"))))</f>
      </c>
    </row>
    <row r="144" ht="14.25" customHeight="1" spans="1:8" x14ac:dyDescent="0.25">
      <c r="A144" s="78">
        <v>139</v>
      </c>
      <c r="B144" s="79">
        <f t="array" ref="B144">IFERROR(INDEX('02_DS_Nhan_Viec'!$B:$B,MATCH(139,'02_DS_Nhan_Viec'!$L:$L,0)),"")</f>
      </c>
      <c r="C144" s="79">
        <f t="array" ref="C144">IFERROR(INDEX('02_DS_Nhan_Viec'!$C:$C,MATCH(139,'02_DS_Nhan_Viec'!$L:$L,0)),"")</f>
      </c>
      <c r="D144" s="80">
        <f t="array" ref="D144">IFERROR(INDEX('02_DS_Nhan_Viec'!$D:$D,MATCH(139,'02_DS_Nhan_Viec'!$L:$L,0)),"")</f>
      </c>
      <c r="E144" s="80">
        <f t="array" ref="E144">IFERROR(INDEX('02_DS_Nhan_Viec'!$E:$E,MATCH(139,'02_DS_Nhan_Viec'!$L:$L,0)),"")</f>
      </c>
      <c r="F144" s="79">
        <f t="array" ref="F144">IFERROR(INDEX('02_DS_Nhan_Viec'!$F:$F,MATCH(139,'02_DS_Nhan_Viec'!$L:$L,0)),"")</f>
      </c>
      <c r="G144" s="79">
        <f t="array" ref="G144">IFERROR(INDEX('02_DS_Nhan_Viec'!$K:$K,MATCH(139,'02_DS_Nhan_Viec'!$L:$L,0)),"")</f>
      </c>
      <c r="H144" s="61">
        <f t="array" ref="H144">IF($B144="","",IF(IFERROR(INDEX('02_DS_Nhan_Viec'!$J:$J,MATCH($B144,'02_DS_Nhan_Viec'!$B:$B,0)),"")="","Đang theo dõi",IF(OR(IFERROR(INDEX('05_Theo_Doi_Gio_Cong_7_Ngay'!$R:$R,MATCH(IFERROR(INDEX('02_DS_Nhan_Viec'!$J:$J,MATCH($B144,'02_DS_Nhan_Viec'!$B:$B,0)),""),'05_Theo_Doi_Gio_Cong_7_Ngay'!$B:$B,0)),"")="",IFERROR(INDEX('05_Theo_Doi_Gio_Cong_7_Ngay'!$R:$R,MATCH(IFERROR(INDEX('02_DS_Nhan_Viec'!$J:$J,MATCH($B144,'02_DS_Nhan_Viec'!$B:$B,0)),""),'05_Theo_Doi_Gio_Cong_7_Ngay'!$B:$B,0)),0)=0),"Đang theo dõi",IFERROR(INDEX('06_DS_Chinh_Thuc'!$K:$K,MATCH(IFERROR(INDEX('05_Theo_Doi_Gio_Cong_7_Ngay'!$R:$R,MATCH(IFERROR(INDEX('02_DS_Nhan_Viec'!$J:$J,MATCH($B144,'02_DS_Nhan_Viec'!$B:$B,0)),""),'05_Theo_Doi_Gio_Cong_7_Ngay'!$B:$B,0)),0),'06_DS_Chinh_Thuc'!$B:$B,0)),"Đang theo dõi"))))</f>
      </c>
    </row>
    <row r="145" ht="14.25" customHeight="1" spans="1:8" x14ac:dyDescent="0.25">
      <c r="A145" s="78">
        <v>140</v>
      </c>
      <c r="B145" s="79">
        <f t="array" ref="B145">IFERROR(INDEX('02_DS_Nhan_Viec'!$B:$B,MATCH(140,'02_DS_Nhan_Viec'!$L:$L,0)),"")</f>
      </c>
      <c r="C145" s="79">
        <f t="array" ref="C145">IFERROR(INDEX('02_DS_Nhan_Viec'!$C:$C,MATCH(140,'02_DS_Nhan_Viec'!$L:$L,0)),"")</f>
      </c>
      <c r="D145" s="80">
        <f t="array" ref="D145">IFERROR(INDEX('02_DS_Nhan_Viec'!$D:$D,MATCH(140,'02_DS_Nhan_Viec'!$L:$L,0)),"")</f>
      </c>
      <c r="E145" s="80">
        <f t="array" ref="E145">IFERROR(INDEX('02_DS_Nhan_Viec'!$E:$E,MATCH(140,'02_DS_Nhan_Viec'!$L:$L,0)),"")</f>
      </c>
      <c r="F145" s="79">
        <f t="array" ref="F145">IFERROR(INDEX('02_DS_Nhan_Viec'!$F:$F,MATCH(140,'02_DS_Nhan_Viec'!$L:$L,0)),"")</f>
      </c>
      <c r="G145" s="79">
        <f t="array" ref="G145">IFERROR(INDEX('02_DS_Nhan_Viec'!$K:$K,MATCH(140,'02_DS_Nhan_Viec'!$L:$L,0)),"")</f>
      </c>
      <c r="H145" s="61">
        <f t="array" ref="H145">IF($B145="","",IF(IFERROR(INDEX('02_DS_Nhan_Viec'!$J:$J,MATCH($B145,'02_DS_Nhan_Viec'!$B:$B,0)),"")="","Đang theo dõi",IF(OR(IFERROR(INDEX('05_Theo_Doi_Gio_Cong_7_Ngay'!$R:$R,MATCH(IFERROR(INDEX('02_DS_Nhan_Viec'!$J:$J,MATCH($B145,'02_DS_Nhan_Viec'!$B:$B,0)),""),'05_Theo_Doi_Gio_Cong_7_Ngay'!$B:$B,0)),"")="",IFERROR(INDEX('05_Theo_Doi_Gio_Cong_7_Ngay'!$R:$R,MATCH(IFERROR(INDEX('02_DS_Nhan_Viec'!$J:$J,MATCH($B145,'02_DS_Nhan_Viec'!$B:$B,0)),""),'05_Theo_Doi_Gio_Cong_7_Ngay'!$B:$B,0)),0)=0),"Đang theo dõi",IFERROR(INDEX('06_DS_Chinh_Thuc'!$K:$K,MATCH(IFERROR(INDEX('05_Theo_Doi_Gio_Cong_7_Ngay'!$R:$R,MATCH(IFERROR(INDEX('02_DS_Nhan_Viec'!$J:$J,MATCH($B145,'02_DS_Nhan_Viec'!$B:$B,0)),""),'05_Theo_Doi_Gio_Cong_7_Ngay'!$B:$B,0)),0),'06_DS_Chinh_Thuc'!$B:$B,0)),"Đang theo dõi"))))</f>
      </c>
    </row>
    <row r="146" ht="14.25" customHeight="1" spans="1:8" x14ac:dyDescent="0.25">
      <c r="A146" s="78">
        <v>141</v>
      </c>
      <c r="B146" s="79">
        <f t="array" ref="B146">IFERROR(INDEX('02_DS_Nhan_Viec'!$B:$B,MATCH(141,'02_DS_Nhan_Viec'!$L:$L,0)),"")</f>
      </c>
      <c r="C146" s="79">
        <f t="array" ref="C146">IFERROR(INDEX('02_DS_Nhan_Viec'!$C:$C,MATCH(141,'02_DS_Nhan_Viec'!$L:$L,0)),"")</f>
      </c>
      <c r="D146" s="80">
        <f t="array" ref="D146">IFERROR(INDEX('02_DS_Nhan_Viec'!$D:$D,MATCH(141,'02_DS_Nhan_Viec'!$L:$L,0)),"")</f>
      </c>
      <c r="E146" s="80">
        <f t="array" ref="E146">IFERROR(INDEX('02_DS_Nhan_Viec'!$E:$E,MATCH(141,'02_DS_Nhan_Viec'!$L:$L,0)),"")</f>
      </c>
      <c r="F146" s="79">
        <f t="array" ref="F146">IFERROR(INDEX('02_DS_Nhan_Viec'!$F:$F,MATCH(141,'02_DS_Nhan_Viec'!$L:$L,0)),"")</f>
      </c>
      <c r="G146" s="79">
        <f t="array" ref="G146">IFERROR(INDEX('02_DS_Nhan_Viec'!$K:$K,MATCH(141,'02_DS_Nhan_Viec'!$L:$L,0)),"")</f>
      </c>
      <c r="H146" s="61">
        <f t="array" ref="H146">IF($B146="","",IF(IFERROR(INDEX('02_DS_Nhan_Viec'!$J:$J,MATCH($B146,'02_DS_Nhan_Viec'!$B:$B,0)),"")="","Đang theo dõi",IF(OR(IFERROR(INDEX('05_Theo_Doi_Gio_Cong_7_Ngay'!$R:$R,MATCH(IFERROR(INDEX('02_DS_Nhan_Viec'!$J:$J,MATCH($B146,'02_DS_Nhan_Viec'!$B:$B,0)),""),'05_Theo_Doi_Gio_Cong_7_Ngay'!$B:$B,0)),"")="",IFERROR(INDEX('05_Theo_Doi_Gio_Cong_7_Ngay'!$R:$R,MATCH(IFERROR(INDEX('02_DS_Nhan_Viec'!$J:$J,MATCH($B146,'02_DS_Nhan_Viec'!$B:$B,0)),""),'05_Theo_Doi_Gio_Cong_7_Ngay'!$B:$B,0)),0)=0),"Đang theo dõi",IFERROR(INDEX('06_DS_Chinh_Thuc'!$K:$K,MATCH(IFERROR(INDEX('05_Theo_Doi_Gio_Cong_7_Ngay'!$R:$R,MATCH(IFERROR(INDEX('02_DS_Nhan_Viec'!$J:$J,MATCH($B146,'02_DS_Nhan_Viec'!$B:$B,0)),""),'05_Theo_Doi_Gio_Cong_7_Ngay'!$B:$B,0)),0),'06_DS_Chinh_Thuc'!$B:$B,0)),"Đang theo dõi"))))</f>
      </c>
    </row>
    <row r="147" ht="14.25" customHeight="1" spans="1:8" x14ac:dyDescent="0.25">
      <c r="A147" s="78">
        <v>142</v>
      </c>
      <c r="B147" s="79">
        <f t="array" ref="B147">IFERROR(INDEX('02_DS_Nhan_Viec'!$B:$B,MATCH(142,'02_DS_Nhan_Viec'!$L:$L,0)),"")</f>
      </c>
      <c r="C147" s="79">
        <f t="array" ref="C147">IFERROR(INDEX('02_DS_Nhan_Viec'!$C:$C,MATCH(142,'02_DS_Nhan_Viec'!$L:$L,0)),"")</f>
      </c>
      <c r="D147" s="80">
        <f t="array" ref="D147">IFERROR(INDEX('02_DS_Nhan_Viec'!$D:$D,MATCH(142,'02_DS_Nhan_Viec'!$L:$L,0)),"")</f>
      </c>
      <c r="E147" s="80">
        <f t="array" ref="E147">IFERROR(INDEX('02_DS_Nhan_Viec'!$E:$E,MATCH(142,'02_DS_Nhan_Viec'!$L:$L,0)),"")</f>
      </c>
      <c r="F147" s="79">
        <f t="array" ref="F147">IFERROR(INDEX('02_DS_Nhan_Viec'!$F:$F,MATCH(142,'02_DS_Nhan_Viec'!$L:$L,0)),"")</f>
      </c>
      <c r="G147" s="79">
        <f t="array" ref="G147">IFERROR(INDEX('02_DS_Nhan_Viec'!$K:$K,MATCH(142,'02_DS_Nhan_Viec'!$L:$L,0)),"")</f>
      </c>
      <c r="H147" s="61">
        <f t="array" ref="H147">IF($B147="","",IF(IFERROR(INDEX('02_DS_Nhan_Viec'!$J:$J,MATCH($B147,'02_DS_Nhan_Viec'!$B:$B,0)),"")="","Đang theo dõi",IF(OR(IFERROR(INDEX('05_Theo_Doi_Gio_Cong_7_Ngay'!$R:$R,MATCH(IFERROR(INDEX('02_DS_Nhan_Viec'!$J:$J,MATCH($B147,'02_DS_Nhan_Viec'!$B:$B,0)),""),'05_Theo_Doi_Gio_Cong_7_Ngay'!$B:$B,0)),"")="",IFERROR(INDEX('05_Theo_Doi_Gio_Cong_7_Ngay'!$R:$R,MATCH(IFERROR(INDEX('02_DS_Nhan_Viec'!$J:$J,MATCH($B147,'02_DS_Nhan_Viec'!$B:$B,0)),""),'05_Theo_Doi_Gio_Cong_7_Ngay'!$B:$B,0)),0)=0),"Đang theo dõi",IFERROR(INDEX('06_DS_Chinh_Thuc'!$K:$K,MATCH(IFERROR(INDEX('05_Theo_Doi_Gio_Cong_7_Ngay'!$R:$R,MATCH(IFERROR(INDEX('02_DS_Nhan_Viec'!$J:$J,MATCH($B147,'02_DS_Nhan_Viec'!$B:$B,0)),""),'05_Theo_Doi_Gio_Cong_7_Ngay'!$B:$B,0)),0),'06_DS_Chinh_Thuc'!$B:$B,0)),"Đang theo dõi"))))</f>
      </c>
    </row>
    <row r="148" ht="14.25" customHeight="1" spans="1:8" x14ac:dyDescent="0.25">
      <c r="A148" s="78">
        <v>143</v>
      </c>
      <c r="B148" s="79">
        <f t="array" ref="B148">IFERROR(INDEX('02_DS_Nhan_Viec'!$B:$B,MATCH(143,'02_DS_Nhan_Viec'!$L:$L,0)),"")</f>
      </c>
      <c r="C148" s="79">
        <f t="array" ref="C148">IFERROR(INDEX('02_DS_Nhan_Viec'!$C:$C,MATCH(143,'02_DS_Nhan_Viec'!$L:$L,0)),"")</f>
      </c>
      <c r="D148" s="80">
        <f t="array" ref="D148">IFERROR(INDEX('02_DS_Nhan_Viec'!$D:$D,MATCH(143,'02_DS_Nhan_Viec'!$L:$L,0)),"")</f>
      </c>
      <c r="E148" s="80">
        <f t="array" ref="E148">IFERROR(INDEX('02_DS_Nhan_Viec'!$E:$E,MATCH(143,'02_DS_Nhan_Viec'!$L:$L,0)),"")</f>
      </c>
      <c r="F148" s="79">
        <f t="array" ref="F148">IFERROR(INDEX('02_DS_Nhan_Viec'!$F:$F,MATCH(143,'02_DS_Nhan_Viec'!$L:$L,0)),"")</f>
      </c>
      <c r="G148" s="79">
        <f t="array" ref="G148">IFERROR(INDEX('02_DS_Nhan_Viec'!$K:$K,MATCH(143,'02_DS_Nhan_Viec'!$L:$L,0)),"")</f>
      </c>
      <c r="H148" s="61">
        <f t="array" ref="H148">IF($B148="","",IF(IFERROR(INDEX('02_DS_Nhan_Viec'!$J:$J,MATCH($B148,'02_DS_Nhan_Viec'!$B:$B,0)),"")="","Đang theo dõi",IF(OR(IFERROR(INDEX('05_Theo_Doi_Gio_Cong_7_Ngay'!$R:$R,MATCH(IFERROR(INDEX('02_DS_Nhan_Viec'!$J:$J,MATCH($B148,'02_DS_Nhan_Viec'!$B:$B,0)),""),'05_Theo_Doi_Gio_Cong_7_Ngay'!$B:$B,0)),"")="",IFERROR(INDEX('05_Theo_Doi_Gio_Cong_7_Ngay'!$R:$R,MATCH(IFERROR(INDEX('02_DS_Nhan_Viec'!$J:$J,MATCH($B148,'02_DS_Nhan_Viec'!$B:$B,0)),""),'05_Theo_Doi_Gio_Cong_7_Ngay'!$B:$B,0)),0)=0),"Đang theo dõi",IFERROR(INDEX('06_DS_Chinh_Thuc'!$K:$K,MATCH(IFERROR(INDEX('05_Theo_Doi_Gio_Cong_7_Ngay'!$R:$R,MATCH(IFERROR(INDEX('02_DS_Nhan_Viec'!$J:$J,MATCH($B148,'02_DS_Nhan_Viec'!$B:$B,0)),""),'05_Theo_Doi_Gio_Cong_7_Ngay'!$B:$B,0)),0),'06_DS_Chinh_Thuc'!$B:$B,0)),"Đang theo dõi"))))</f>
      </c>
    </row>
    <row r="149" ht="14.25" customHeight="1" spans="1:8" x14ac:dyDescent="0.25">
      <c r="A149" s="78">
        <v>144</v>
      </c>
      <c r="B149" s="79">
        <f t="array" ref="B149">IFERROR(INDEX('02_DS_Nhan_Viec'!$B:$B,MATCH(144,'02_DS_Nhan_Viec'!$L:$L,0)),"")</f>
      </c>
      <c r="C149" s="79">
        <f t="array" ref="C149">IFERROR(INDEX('02_DS_Nhan_Viec'!$C:$C,MATCH(144,'02_DS_Nhan_Viec'!$L:$L,0)),"")</f>
      </c>
      <c r="D149" s="80">
        <f t="array" ref="D149">IFERROR(INDEX('02_DS_Nhan_Viec'!$D:$D,MATCH(144,'02_DS_Nhan_Viec'!$L:$L,0)),"")</f>
      </c>
      <c r="E149" s="80">
        <f t="array" ref="E149">IFERROR(INDEX('02_DS_Nhan_Viec'!$E:$E,MATCH(144,'02_DS_Nhan_Viec'!$L:$L,0)),"")</f>
      </c>
      <c r="F149" s="79">
        <f t="array" ref="F149">IFERROR(INDEX('02_DS_Nhan_Viec'!$F:$F,MATCH(144,'02_DS_Nhan_Viec'!$L:$L,0)),"")</f>
      </c>
      <c r="G149" s="79">
        <f t="array" ref="G149">IFERROR(INDEX('02_DS_Nhan_Viec'!$K:$K,MATCH(144,'02_DS_Nhan_Viec'!$L:$L,0)),"")</f>
      </c>
      <c r="H149" s="61">
        <f t="array" ref="H149">IF($B149="","",IF(IFERROR(INDEX('02_DS_Nhan_Viec'!$J:$J,MATCH($B149,'02_DS_Nhan_Viec'!$B:$B,0)),"")="","Đang theo dõi",IF(OR(IFERROR(INDEX('05_Theo_Doi_Gio_Cong_7_Ngay'!$R:$R,MATCH(IFERROR(INDEX('02_DS_Nhan_Viec'!$J:$J,MATCH($B149,'02_DS_Nhan_Viec'!$B:$B,0)),""),'05_Theo_Doi_Gio_Cong_7_Ngay'!$B:$B,0)),"")="",IFERROR(INDEX('05_Theo_Doi_Gio_Cong_7_Ngay'!$R:$R,MATCH(IFERROR(INDEX('02_DS_Nhan_Viec'!$J:$J,MATCH($B149,'02_DS_Nhan_Viec'!$B:$B,0)),""),'05_Theo_Doi_Gio_Cong_7_Ngay'!$B:$B,0)),0)=0),"Đang theo dõi",IFERROR(INDEX('06_DS_Chinh_Thuc'!$K:$K,MATCH(IFERROR(INDEX('05_Theo_Doi_Gio_Cong_7_Ngay'!$R:$R,MATCH(IFERROR(INDEX('02_DS_Nhan_Viec'!$J:$J,MATCH($B149,'02_DS_Nhan_Viec'!$B:$B,0)),""),'05_Theo_Doi_Gio_Cong_7_Ngay'!$B:$B,0)),0),'06_DS_Chinh_Thuc'!$B:$B,0)),"Đang theo dõi"))))</f>
      </c>
    </row>
    <row r="150" ht="14.25" customHeight="1" spans="1:8" x14ac:dyDescent="0.25">
      <c r="A150" s="78">
        <v>145</v>
      </c>
      <c r="B150" s="79">
        <f t="array" ref="B150">IFERROR(INDEX('02_DS_Nhan_Viec'!$B:$B,MATCH(145,'02_DS_Nhan_Viec'!$L:$L,0)),"")</f>
      </c>
      <c r="C150" s="79">
        <f t="array" ref="C150">IFERROR(INDEX('02_DS_Nhan_Viec'!$C:$C,MATCH(145,'02_DS_Nhan_Viec'!$L:$L,0)),"")</f>
      </c>
      <c r="D150" s="80">
        <f t="array" ref="D150">IFERROR(INDEX('02_DS_Nhan_Viec'!$D:$D,MATCH(145,'02_DS_Nhan_Viec'!$L:$L,0)),"")</f>
      </c>
      <c r="E150" s="80">
        <f t="array" ref="E150">IFERROR(INDEX('02_DS_Nhan_Viec'!$E:$E,MATCH(145,'02_DS_Nhan_Viec'!$L:$L,0)),"")</f>
      </c>
      <c r="F150" s="79">
        <f t="array" ref="F150">IFERROR(INDEX('02_DS_Nhan_Viec'!$F:$F,MATCH(145,'02_DS_Nhan_Viec'!$L:$L,0)),"")</f>
      </c>
      <c r="G150" s="79">
        <f t="array" ref="G150">IFERROR(INDEX('02_DS_Nhan_Viec'!$K:$K,MATCH(145,'02_DS_Nhan_Viec'!$L:$L,0)),"")</f>
      </c>
      <c r="H150" s="61">
        <f t="array" ref="H150">IF($B150="","",IF(IFERROR(INDEX('02_DS_Nhan_Viec'!$J:$J,MATCH($B150,'02_DS_Nhan_Viec'!$B:$B,0)),"")="","Đang theo dõi",IF(OR(IFERROR(INDEX('05_Theo_Doi_Gio_Cong_7_Ngay'!$R:$R,MATCH(IFERROR(INDEX('02_DS_Nhan_Viec'!$J:$J,MATCH($B150,'02_DS_Nhan_Viec'!$B:$B,0)),""),'05_Theo_Doi_Gio_Cong_7_Ngay'!$B:$B,0)),"")="",IFERROR(INDEX('05_Theo_Doi_Gio_Cong_7_Ngay'!$R:$R,MATCH(IFERROR(INDEX('02_DS_Nhan_Viec'!$J:$J,MATCH($B150,'02_DS_Nhan_Viec'!$B:$B,0)),""),'05_Theo_Doi_Gio_Cong_7_Ngay'!$B:$B,0)),0)=0),"Đang theo dõi",IFERROR(INDEX('06_DS_Chinh_Thuc'!$K:$K,MATCH(IFERROR(INDEX('05_Theo_Doi_Gio_Cong_7_Ngay'!$R:$R,MATCH(IFERROR(INDEX('02_DS_Nhan_Viec'!$J:$J,MATCH($B150,'02_DS_Nhan_Viec'!$B:$B,0)),""),'05_Theo_Doi_Gio_Cong_7_Ngay'!$B:$B,0)),0),'06_DS_Chinh_Thuc'!$B:$B,0)),"Đang theo dõi"))))</f>
      </c>
    </row>
    <row r="151" ht="14.25" customHeight="1" spans="1:8" x14ac:dyDescent="0.25">
      <c r="A151" s="78">
        <v>146</v>
      </c>
      <c r="B151" s="79">
        <f t="array" ref="B151">IFERROR(INDEX('02_DS_Nhan_Viec'!$B:$B,MATCH(146,'02_DS_Nhan_Viec'!$L:$L,0)),"")</f>
      </c>
      <c r="C151" s="79">
        <f t="array" ref="C151">IFERROR(INDEX('02_DS_Nhan_Viec'!$C:$C,MATCH(146,'02_DS_Nhan_Viec'!$L:$L,0)),"")</f>
      </c>
      <c r="D151" s="80">
        <f t="array" ref="D151">IFERROR(INDEX('02_DS_Nhan_Viec'!$D:$D,MATCH(146,'02_DS_Nhan_Viec'!$L:$L,0)),"")</f>
      </c>
      <c r="E151" s="80">
        <f t="array" ref="E151">IFERROR(INDEX('02_DS_Nhan_Viec'!$E:$E,MATCH(146,'02_DS_Nhan_Viec'!$L:$L,0)),"")</f>
      </c>
      <c r="F151" s="79">
        <f t="array" ref="F151">IFERROR(INDEX('02_DS_Nhan_Viec'!$F:$F,MATCH(146,'02_DS_Nhan_Viec'!$L:$L,0)),"")</f>
      </c>
      <c r="G151" s="79">
        <f t="array" ref="G151">IFERROR(INDEX('02_DS_Nhan_Viec'!$K:$K,MATCH(146,'02_DS_Nhan_Viec'!$L:$L,0)),"")</f>
      </c>
      <c r="H151" s="61">
        <f t="array" ref="H151">IF($B151="","",IF(IFERROR(INDEX('02_DS_Nhan_Viec'!$J:$J,MATCH($B151,'02_DS_Nhan_Viec'!$B:$B,0)),"")="","Đang theo dõi",IF(OR(IFERROR(INDEX('05_Theo_Doi_Gio_Cong_7_Ngay'!$R:$R,MATCH(IFERROR(INDEX('02_DS_Nhan_Viec'!$J:$J,MATCH($B151,'02_DS_Nhan_Viec'!$B:$B,0)),""),'05_Theo_Doi_Gio_Cong_7_Ngay'!$B:$B,0)),"")="",IFERROR(INDEX('05_Theo_Doi_Gio_Cong_7_Ngay'!$R:$R,MATCH(IFERROR(INDEX('02_DS_Nhan_Viec'!$J:$J,MATCH($B151,'02_DS_Nhan_Viec'!$B:$B,0)),""),'05_Theo_Doi_Gio_Cong_7_Ngay'!$B:$B,0)),0)=0),"Đang theo dõi",IFERROR(INDEX('06_DS_Chinh_Thuc'!$K:$K,MATCH(IFERROR(INDEX('05_Theo_Doi_Gio_Cong_7_Ngay'!$R:$R,MATCH(IFERROR(INDEX('02_DS_Nhan_Viec'!$J:$J,MATCH($B151,'02_DS_Nhan_Viec'!$B:$B,0)),""),'05_Theo_Doi_Gio_Cong_7_Ngay'!$B:$B,0)),0),'06_DS_Chinh_Thuc'!$B:$B,0)),"Đang theo dõi"))))</f>
      </c>
    </row>
    <row r="152" ht="14.25" customHeight="1" spans="1:8" x14ac:dyDescent="0.25">
      <c r="A152" s="78">
        <v>147</v>
      </c>
      <c r="B152" s="79">
        <f t="array" ref="B152">IFERROR(INDEX('02_DS_Nhan_Viec'!$B:$B,MATCH(147,'02_DS_Nhan_Viec'!$L:$L,0)),"")</f>
      </c>
      <c r="C152" s="79">
        <f t="array" ref="C152">IFERROR(INDEX('02_DS_Nhan_Viec'!$C:$C,MATCH(147,'02_DS_Nhan_Viec'!$L:$L,0)),"")</f>
      </c>
      <c r="D152" s="80">
        <f t="array" ref="D152">IFERROR(INDEX('02_DS_Nhan_Viec'!$D:$D,MATCH(147,'02_DS_Nhan_Viec'!$L:$L,0)),"")</f>
      </c>
      <c r="E152" s="80">
        <f t="array" ref="E152">IFERROR(INDEX('02_DS_Nhan_Viec'!$E:$E,MATCH(147,'02_DS_Nhan_Viec'!$L:$L,0)),"")</f>
      </c>
      <c r="F152" s="79">
        <f t="array" ref="F152">IFERROR(INDEX('02_DS_Nhan_Viec'!$F:$F,MATCH(147,'02_DS_Nhan_Viec'!$L:$L,0)),"")</f>
      </c>
      <c r="G152" s="79">
        <f t="array" ref="G152">IFERROR(INDEX('02_DS_Nhan_Viec'!$K:$K,MATCH(147,'02_DS_Nhan_Viec'!$L:$L,0)),"")</f>
      </c>
      <c r="H152" s="61">
        <f t="array" ref="H152">IF($B152="","",IF(IFERROR(INDEX('02_DS_Nhan_Viec'!$J:$J,MATCH($B152,'02_DS_Nhan_Viec'!$B:$B,0)),"")="","Đang theo dõi",IF(OR(IFERROR(INDEX('05_Theo_Doi_Gio_Cong_7_Ngay'!$R:$R,MATCH(IFERROR(INDEX('02_DS_Nhan_Viec'!$J:$J,MATCH($B152,'02_DS_Nhan_Viec'!$B:$B,0)),""),'05_Theo_Doi_Gio_Cong_7_Ngay'!$B:$B,0)),"")="",IFERROR(INDEX('05_Theo_Doi_Gio_Cong_7_Ngay'!$R:$R,MATCH(IFERROR(INDEX('02_DS_Nhan_Viec'!$J:$J,MATCH($B152,'02_DS_Nhan_Viec'!$B:$B,0)),""),'05_Theo_Doi_Gio_Cong_7_Ngay'!$B:$B,0)),0)=0),"Đang theo dõi",IFERROR(INDEX('06_DS_Chinh_Thuc'!$K:$K,MATCH(IFERROR(INDEX('05_Theo_Doi_Gio_Cong_7_Ngay'!$R:$R,MATCH(IFERROR(INDEX('02_DS_Nhan_Viec'!$J:$J,MATCH($B152,'02_DS_Nhan_Viec'!$B:$B,0)),""),'05_Theo_Doi_Gio_Cong_7_Ngay'!$B:$B,0)),0),'06_DS_Chinh_Thuc'!$B:$B,0)),"Đang theo dõi"))))</f>
      </c>
    </row>
    <row r="153" ht="14.25" customHeight="1" spans="1:8" x14ac:dyDescent="0.25">
      <c r="A153" s="78">
        <v>148</v>
      </c>
      <c r="B153" s="79">
        <f t="array" ref="B153">IFERROR(INDEX('02_DS_Nhan_Viec'!$B:$B,MATCH(148,'02_DS_Nhan_Viec'!$L:$L,0)),"")</f>
      </c>
      <c r="C153" s="79">
        <f t="array" ref="C153">IFERROR(INDEX('02_DS_Nhan_Viec'!$C:$C,MATCH(148,'02_DS_Nhan_Viec'!$L:$L,0)),"")</f>
      </c>
      <c r="D153" s="80">
        <f t="array" ref="D153">IFERROR(INDEX('02_DS_Nhan_Viec'!$D:$D,MATCH(148,'02_DS_Nhan_Viec'!$L:$L,0)),"")</f>
      </c>
      <c r="E153" s="80">
        <f t="array" ref="E153">IFERROR(INDEX('02_DS_Nhan_Viec'!$E:$E,MATCH(148,'02_DS_Nhan_Viec'!$L:$L,0)),"")</f>
      </c>
      <c r="F153" s="79">
        <f t="array" ref="F153">IFERROR(INDEX('02_DS_Nhan_Viec'!$F:$F,MATCH(148,'02_DS_Nhan_Viec'!$L:$L,0)),"")</f>
      </c>
      <c r="G153" s="79">
        <f t="array" ref="G153">IFERROR(INDEX('02_DS_Nhan_Viec'!$K:$K,MATCH(148,'02_DS_Nhan_Viec'!$L:$L,0)),"")</f>
      </c>
      <c r="H153" s="61">
        <f t="array" ref="H153">IF($B153="","",IF(IFERROR(INDEX('02_DS_Nhan_Viec'!$J:$J,MATCH($B153,'02_DS_Nhan_Viec'!$B:$B,0)),"")="","Đang theo dõi",IF(OR(IFERROR(INDEX('05_Theo_Doi_Gio_Cong_7_Ngay'!$R:$R,MATCH(IFERROR(INDEX('02_DS_Nhan_Viec'!$J:$J,MATCH($B153,'02_DS_Nhan_Viec'!$B:$B,0)),""),'05_Theo_Doi_Gio_Cong_7_Ngay'!$B:$B,0)),"")="",IFERROR(INDEX('05_Theo_Doi_Gio_Cong_7_Ngay'!$R:$R,MATCH(IFERROR(INDEX('02_DS_Nhan_Viec'!$J:$J,MATCH($B153,'02_DS_Nhan_Viec'!$B:$B,0)),""),'05_Theo_Doi_Gio_Cong_7_Ngay'!$B:$B,0)),0)=0),"Đang theo dõi",IFERROR(INDEX('06_DS_Chinh_Thuc'!$K:$K,MATCH(IFERROR(INDEX('05_Theo_Doi_Gio_Cong_7_Ngay'!$R:$R,MATCH(IFERROR(INDEX('02_DS_Nhan_Viec'!$J:$J,MATCH($B153,'02_DS_Nhan_Viec'!$B:$B,0)),""),'05_Theo_Doi_Gio_Cong_7_Ngay'!$B:$B,0)),0),'06_DS_Chinh_Thuc'!$B:$B,0)),"Đang theo dõi"))))</f>
      </c>
    </row>
    <row r="154" ht="14.25" customHeight="1" spans="1:8" x14ac:dyDescent="0.25">
      <c r="A154" s="78">
        <v>149</v>
      </c>
      <c r="B154" s="79">
        <f t="array" ref="B154">IFERROR(INDEX('02_DS_Nhan_Viec'!$B:$B,MATCH(149,'02_DS_Nhan_Viec'!$L:$L,0)),"")</f>
      </c>
      <c r="C154" s="79">
        <f t="array" ref="C154">IFERROR(INDEX('02_DS_Nhan_Viec'!$C:$C,MATCH(149,'02_DS_Nhan_Viec'!$L:$L,0)),"")</f>
      </c>
      <c r="D154" s="80">
        <f t="array" ref="D154">IFERROR(INDEX('02_DS_Nhan_Viec'!$D:$D,MATCH(149,'02_DS_Nhan_Viec'!$L:$L,0)),"")</f>
      </c>
      <c r="E154" s="80">
        <f t="array" ref="E154">IFERROR(INDEX('02_DS_Nhan_Viec'!$E:$E,MATCH(149,'02_DS_Nhan_Viec'!$L:$L,0)),"")</f>
      </c>
      <c r="F154" s="79">
        <f t="array" ref="F154">IFERROR(INDEX('02_DS_Nhan_Viec'!$F:$F,MATCH(149,'02_DS_Nhan_Viec'!$L:$L,0)),"")</f>
      </c>
      <c r="G154" s="79">
        <f t="array" ref="G154">IFERROR(INDEX('02_DS_Nhan_Viec'!$K:$K,MATCH(149,'02_DS_Nhan_Viec'!$L:$L,0)),"")</f>
      </c>
      <c r="H154" s="61">
        <f t="array" ref="H154">IF($B154="","",IF(IFERROR(INDEX('02_DS_Nhan_Viec'!$J:$J,MATCH($B154,'02_DS_Nhan_Viec'!$B:$B,0)),"")="","Đang theo dõi",IF(OR(IFERROR(INDEX('05_Theo_Doi_Gio_Cong_7_Ngay'!$R:$R,MATCH(IFERROR(INDEX('02_DS_Nhan_Viec'!$J:$J,MATCH($B154,'02_DS_Nhan_Viec'!$B:$B,0)),""),'05_Theo_Doi_Gio_Cong_7_Ngay'!$B:$B,0)),"")="",IFERROR(INDEX('05_Theo_Doi_Gio_Cong_7_Ngay'!$R:$R,MATCH(IFERROR(INDEX('02_DS_Nhan_Viec'!$J:$J,MATCH($B154,'02_DS_Nhan_Viec'!$B:$B,0)),""),'05_Theo_Doi_Gio_Cong_7_Ngay'!$B:$B,0)),0)=0),"Đang theo dõi",IFERROR(INDEX('06_DS_Chinh_Thuc'!$K:$K,MATCH(IFERROR(INDEX('05_Theo_Doi_Gio_Cong_7_Ngay'!$R:$R,MATCH(IFERROR(INDEX('02_DS_Nhan_Viec'!$J:$J,MATCH($B154,'02_DS_Nhan_Viec'!$B:$B,0)),""),'05_Theo_Doi_Gio_Cong_7_Ngay'!$B:$B,0)),0),'06_DS_Chinh_Thuc'!$B:$B,0)),"Đang theo dõi"))))</f>
      </c>
    </row>
    <row r="155" ht="14.25" customHeight="1" spans="1:8" x14ac:dyDescent="0.25">
      <c r="A155" s="78">
        <v>150</v>
      </c>
      <c r="B155" s="79">
        <f t="array" ref="B155">IFERROR(INDEX('02_DS_Nhan_Viec'!$B:$B,MATCH(150,'02_DS_Nhan_Viec'!$L:$L,0)),"")</f>
      </c>
      <c r="C155" s="79">
        <f t="array" ref="C155">IFERROR(INDEX('02_DS_Nhan_Viec'!$C:$C,MATCH(150,'02_DS_Nhan_Viec'!$L:$L,0)),"")</f>
      </c>
      <c r="D155" s="80">
        <f t="array" ref="D155">IFERROR(INDEX('02_DS_Nhan_Viec'!$D:$D,MATCH(150,'02_DS_Nhan_Viec'!$L:$L,0)),"")</f>
      </c>
      <c r="E155" s="80">
        <f t="array" ref="E155">IFERROR(INDEX('02_DS_Nhan_Viec'!$E:$E,MATCH(150,'02_DS_Nhan_Viec'!$L:$L,0)),"")</f>
      </c>
      <c r="F155" s="79">
        <f t="array" ref="F155">IFERROR(INDEX('02_DS_Nhan_Viec'!$F:$F,MATCH(150,'02_DS_Nhan_Viec'!$L:$L,0)),"")</f>
      </c>
      <c r="G155" s="79">
        <f t="array" ref="G155">IFERROR(INDEX('02_DS_Nhan_Viec'!$K:$K,MATCH(150,'02_DS_Nhan_Viec'!$L:$L,0)),"")</f>
      </c>
      <c r="H155" s="61">
        <f t="array" ref="H155">IF($B155="","",IF(IFERROR(INDEX('02_DS_Nhan_Viec'!$J:$J,MATCH($B155,'02_DS_Nhan_Viec'!$B:$B,0)),"")="","Đang theo dõi",IF(OR(IFERROR(INDEX('05_Theo_Doi_Gio_Cong_7_Ngay'!$R:$R,MATCH(IFERROR(INDEX('02_DS_Nhan_Viec'!$J:$J,MATCH($B155,'02_DS_Nhan_Viec'!$B:$B,0)),""),'05_Theo_Doi_Gio_Cong_7_Ngay'!$B:$B,0)),"")="",IFERROR(INDEX('05_Theo_Doi_Gio_Cong_7_Ngay'!$R:$R,MATCH(IFERROR(INDEX('02_DS_Nhan_Viec'!$J:$J,MATCH($B155,'02_DS_Nhan_Viec'!$B:$B,0)),""),'05_Theo_Doi_Gio_Cong_7_Ngay'!$B:$B,0)),0)=0),"Đang theo dõi",IFERROR(INDEX('06_DS_Chinh_Thuc'!$K:$K,MATCH(IFERROR(INDEX('05_Theo_Doi_Gio_Cong_7_Ngay'!$R:$R,MATCH(IFERROR(INDEX('02_DS_Nhan_Viec'!$J:$J,MATCH($B155,'02_DS_Nhan_Viec'!$B:$B,0)),""),'05_Theo_Doi_Gio_Cong_7_Ngay'!$B:$B,0)),0),'06_DS_Chinh_Thuc'!$B:$B,0)),"Đang theo dõi"))))</f>
      </c>
    </row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Z1000"/>
  <sheetViews>
    <sheetView workbookViewId="0" zoomScale="100" zoomScaleNormal="100">
      <pane xSplit="3" ySplit="1" topLeftCell="D2" activePane="bottomRight" state="frozen"/>
      <selection pane="bottomRight" activeCell="D2" sqref="D2"/>
    </sheetView>
  </sheetViews>
  <sheetFormatPr defaultRowHeight="15" outlineLevelRow="0" outlineLevelCol="1" x14ac:dyDescent="0" defaultColWidth="14.43"/>
  <cols>
    <col min="1" max="1" width="6" customWidth="1"/>
    <col min="2" max="2" width="12" customWidth="1"/>
    <col min="3" max="3" width="22" customWidth="1"/>
    <col min="4" max="4" width="16" customWidth="1"/>
    <col min="5" max="11" width="12" customWidth="1"/>
    <col min="12" max="12" width="16" customWidth="1"/>
    <col min="13" max="13" width="33.71" customWidth="1"/>
    <col min="14" max="14" width="22" customWidth="1"/>
    <col min="15" max="15" width="14" customWidth="1"/>
    <col min="16" max="16" width="17" customWidth="1"/>
    <col min="17" max="17" width="24" customWidth="1"/>
    <col min="18" max="18" width="18" customWidth="1"/>
    <col min="19" max="26" width="20" customWidth="1"/>
  </cols>
  <sheetData>
    <row r="1" ht="55.5" customHeight="1" spans="1:26" x14ac:dyDescent="0.25">
      <c r="A1" s="51" t="s">
        <v>33</v>
      </c>
      <c r="B1" s="51" t="s">
        <v>557</v>
      </c>
      <c r="C1" s="51" t="s">
        <v>487</v>
      </c>
      <c r="D1" s="51" t="s">
        <v>558</v>
      </c>
      <c r="E1" s="81" t="s">
        <v>559</v>
      </c>
      <c r="F1" s="81" t="s">
        <v>560</v>
      </c>
      <c r="G1" s="81" t="s">
        <v>561</v>
      </c>
      <c r="H1" s="81" t="s">
        <v>562</v>
      </c>
      <c r="I1" s="81" t="s">
        <v>563</v>
      </c>
      <c r="J1" s="81" t="s">
        <v>564</v>
      </c>
      <c r="K1" s="81" t="s">
        <v>565</v>
      </c>
      <c r="L1" s="51" t="s">
        <v>566</v>
      </c>
      <c r="M1" s="51" t="s">
        <v>567</v>
      </c>
      <c r="N1" s="51" t="s">
        <v>132</v>
      </c>
      <c r="O1" s="51" t="s">
        <v>568</v>
      </c>
      <c r="P1" s="82" t="s">
        <v>569</v>
      </c>
      <c r="Q1" s="82" t="s">
        <v>570</v>
      </c>
      <c r="R1" s="64" t="s">
        <v>571</v>
      </c>
      <c r="S1" s="51" t="s">
        <v>133</v>
      </c>
      <c r="T1" s="83"/>
      <c r="U1" s="83"/>
      <c r="V1" s="83"/>
      <c r="W1" s="83"/>
      <c r="X1" s="83"/>
      <c r="Y1" s="83"/>
      <c r="Z1" s="83"/>
    </row>
    <row r="2" ht="27" customHeight="1" spans="1:26" x14ac:dyDescent="0.25">
      <c r="A2" s="84">
        <f t="shared" ref="A2:A151" si="0">IF(B2="","",ROW()-1)</f>
        <v>1</v>
      </c>
      <c r="B2" s="84" t="s">
        <v>572</v>
      </c>
      <c r="C2" s="84" t="str">
        <f t="array" ref="C2">IF(B2="","",IFERROR(INDEX('03_Ho_So_Nhan_Vien'!$E:$E,MATCH(B2,'03_Ho_So_Nhan_Vien'!$C:$C,0)),"Không tìm thấy Mã NV"))</f>
        <v>Lâm Ngọc Bình</v>
      </c>
      <c r="D2" s="85">
        <f t="array" ref="D2">IF(B2="","",IFERROR(INDEX('02_DS_Nhan_Viec'!$E:$E,MATCH(B2,'02_DS_Nhan_Viec'!$J:$J,0)),""))</f>
        <v>46227</v>
      </c>
      <c r="E2" s="86">
        <v>8</v>
      </c>
      <c r="F2" s="86">
        <v>8</v>
      </c>
      <c r="G2" s="86">
        <v>8</v>
      </c>
      <c r="H2" s="86">
        <v>8</v>
      </c>
      <c r="I2" s="86">
        <v>8</v>
      </c>
      <c r="J2" s="86">
        <v>8</v>
      </c>
      <c r="K2" s="86">
        <v>8</v>
      </c>
      <c r="L2" s="84">
        <f t="shared" ref="L2:L151" si="1">IF(B2="","",COUNTIF(E2:K2,"&gt;=8"))</f>
        <v>7</v>
      </c>
      <c r="M2" s="84" t="str">
        <f t="shared" ref="M2:M7" si="2">IF(B2="","",
 IF(L2&gt;=7,"✅ ĐỦ 7 NGÀY - Đạt chuẩn",
  IF(AND(P2&lt;&gt;"",TODAY()&gt;P2+3),"❌ Không đạt chuẩn (quá hạn "&amp;(TODAY()-P2)&amp;" ngày)",
  IF(COUNT(E2:K2)&lt;7,"⏳ Đang theo dõi ("&amp;COUNT(E2:K2)&amp;"/7 ngày đã nhập)",
     "⚠ Đủ 7 ngày nhưng chưa đạt chuẩn ("&amp;L2&amp;"/7)"))))</f>
        <v>✅ ĐỦ 7 NGÀY - Đạt chuẩn</v>
      </c>
      <c r="N2" s="86"/>
      <c r="O2" s="84">
        <f t="shared" ref="O2:O151" si="3">IF(M2="","",IF(ISNUMBER(SEARCH("ĐỦ 7 NGÀY - Đạt chuẩn",M2)),COUNTIFS($M$2:M2,"*ĐỦ 7 NGÀY - Đạt chuẩn*"),""))</f>
        <v>1</v>
      </c>
      <c r="P2" s="73">
        <f t="shared" ref="P2:P151" si="4">IF(OR(B2="",D2=""),"",D2+6+INT((WEEKDAY(D2,2)+5)/6))</f>
        <v>46234</v>
      </c>
      <c r="Q2" s="52" t="str">
        <f t="shared" ref="Q2:Q19" si="5">IF(B2="","",
IF(ISNUMBER(SEARCH("Nhân viên cũ",N2)),"🔵 Đã có số thẻ (NV cũ)",
IF(ISNUMBER(SEARCH("ĐỦ 7 NGÀY - Đạt chuẩn",M2)),"✅ Đủ điều kiện - Đưa đi lấy dấu vân tay",
IF(ISNUMBER(SEARCH("Không đạt chuẩn",M2)),"❌ Không đủ điều kiện (quá hạn)",
IF(COUNT(E2:K2)&lt;7,"⏳ Chưa đủ 7 ngày ("&amp;COUNT(E2:K2)&amp;"/7)",
"⚠ Đủ 7 ngày nhưng chưa đạt chuẩn")))))</f>
        <v>✅ Đủ điều kiện - Đưa đi lấy dấu vân tay</v>
      </c>
      <c r="R2" s="56">
        <v>489</v>
      </c>
      <c r="S2" s="61" t="str">
        <f t="array" ref="S2">IF($B2="","",IF(OR(ISNUMBER(SEARCH("Không đủ điều kiện",$Q2)),ISNUMBER(SEARCH("Đủ 7 ngày nhưng",$Q2))),"Đã nghỉ",IF(AND(OR(ISNUMBER(SEARCH("Đủ điều kiện",$Q2)),ISNUMBER(SEARCH("Đã có số thẻ",$Q2))),$R2&lt;&gt;""),IFERROR(INDEX('06_DS_Chinh_Thuc'!$K:$K,MATCH($R2,'06_DS_Chinh_Thuc'!$B:$B,0)),"Đang theo dõi"),"Đang theo dõi")))</f>
        <v>Đang làm</v>
      </c>
      <c r="T2" s="83"/>
      <c r="U2" s="83"/>
      <c r="V2" s="83"/>
      <c r="W2" s="83"/>
      <c r="X2" s="83"/>
      <c r="Y2" s="83"/>
      <c r="Z2" s="83"/>
    </row>
    <row r="3" ht="27" customHeight="1" spans="1:26" x14ac:dyDescent="0.25">
      <c r="A3" s="84">
        <f t="shared" si="0"/>
        <v>2</v>
      </c>
      <c r="B3" s="84" t="s">
        <v>573</v>
      </c>
      <c r="C3" s="84" t="str">
        <f t="array" ref="C3">IF(B3="","",IFERROR(INDEX('03_Ho_So_Nhan_Vien'!$E:$E,MATCH(B3,'03_Ho_So_Nhan_Vien'!$C:$C,0)),"Không tìm thấy Mã NV"))</f>
        <v>Trần Đức Trí</v>
      </c>
      <c r="D3" s="85">
        <f t="array" ref="D3">IF(B3="","",IFERROR(INDEX('02_DS_Nhan_Viec'!$E:$E,MATCH(B3,'02_DS_Nhan_Viec'!$J:$J,0)),""))</f>
        <v>46226</v>
      </c>
      <c r="E3" s="86">
        <v>8</v>
      </c>
      <c r="F3" s="86">
        <v>8</v>
      </c>
      <c r="G3" s="86">
        <v>8</v>
      </c>
      <c r="H3" s="86">
        <v>8</v>
      </c>
      <c r="I3" s="86">
        <v>8</v>
      </c>
      <c r="J3" s="86">
        <v>8</v>
      </c>
      <c r="K3" s="86">
        <v>8</v>
      </c>
      <c r="L3" s="84">
        <f t="shared" si="1"/>
        <v>7</v>
      </c>
      <c r="M3" s="84" t="str">
        <f t="shared" si="2"/>
        <v>✅ ĐỦ 7 NGÀY - Đạt chuẩn</v>
      </c>
      <c r="N3" s="86"/>
      <c r="O3" s="84">
        <f t="shared" si="3"/>
        <v>2</v>
      </c>
      <c r="P3" s="73">
        <f t="shared" si="4"/>
        <v>46233</v>
      </c>
      <c r="Q3" s="52" t="str">
        <f t="shared" si="5"/>
        <v>✅ Đủ điều kiện - Đưa đi lấy dấu vân tay</v>
      </c>
      <c r="R3" s="56">
        <v>488</v>
      </c>
      <c r="S3" s="61" t="str">
        <f t="array" ref="S3">IF($B3="","",IF(OR(ISNUMBER(SEARCH("Không đủ điều kiện",$Q3)),ISNUMBER(SEARCH("Đủ 7 ngày nhưng",$Q3))),"Đã nghỉ",IF(AND(OR(ISNUMBER(SEARCH("Đủ điều kiện",$Q3)),ISNUMBER(SEARCH("Đã có số thẻ",$Q3))),$R3&lt;&gt;""),IFERROR(INDEX('06_DS_Chinh_Thuc'!$K:$K,MATCH($R3,'06_DS_Chinh_Thuc'!$B:$B,0)),"Đang theo dõi"),"Đang theo dõi")))</f>
        <v>Đang làm</v>
      </c>
      <c r="T3" s="83"/>
      <c r="U3" s="83"/>
      <c r="V3" s="83"/>
      <c r="W3" s="83"/>
      <c r="X3" s="83"/>
      <c r="Y3" s="83"/>
      <c r="Z3" s="83"/>
    </row>
    <row r="4" ht="27" customHeight="1" spans="1:26" x14ac:dyDescent="0.25">
      <c r="A4" s="84">
        <f t="shared" si="0"/>
        <v>3</v>
      </c>
      <c r="B4" s="84" t="s">
        <v>574</v>
      </c>
      <c r="C4" s="84" t="str">
        <f t="array" ref="C4">IF(B4="","",IFERROR(INDEX('03_Ho_So_Nhan_Vien'!$E:$E,MATCH(B4,'03_Ho_So_Nhan_Vien'!$C:$C,0)),"Không tìm thấy Mã NV"))</f>
        <v>Nguyễn Hoàng Thiện</v>
      </c>
      <c r="D4" s="85">
        <f t="array" ref="D4">IF(B4="","",IFERROR(INDEX('02_DS_Nhan_Viec'!$E:$E,MATCH(B4,'02_DS_Nhan_Viec'!$J:$J,0)),""))</f>
        <v>46218</v>
      </c>
      <c r="E4" s="86">
        <v>8</v>
      </c>
      <c r="F4" s="86">
        <v>8</v>
      </c>
      <c r="G4" s="86">
        <v>8</v>
      </c>
      <c r="H4" s="86">
        <v>8</v>
      </c>
      <c r="I4" s="86">
        <v>8</v>
      </c>
      <c r="J4" s="86">
        <v>8</v>
      </c>
      <c r="K4" s="86">
        <v>8</v>
      </c>
      <c r="L4" s="84">
        <f t="shared" si="1"/>
        <v>7</v>
      </c>
      <c r="M4" s="84" t="str">
        <f t="shared" si="2"/>
        <v>✅ ĐỦ 7 NGÀY - Đạt chuẩn</v>
      </c>
      <c r="N4" s="86"/>
      <c r="O4" s="84">
        <f t="shared" si="3"/>
        <v>3</v>
      </c>
      <c r="P4" s="73">
        <f t="shared" si="4"/>
        <v>46225</v>
      </c>
      <c r="Q4" s="52" t="str">
        <f t="shared" si="5"/>
        <v>✅ Đủ điều kiện - Đưa đi lấy dấu vân tay</v>
      </c>
      <c r="R4" s="56">
        <v>484</v>
      </c>
      <c r="S4" s="61" t="str">
        <f t="array" ref="S4">IF($B4="","",IF(OR(ISNUMBER(SEARCH("Không đủ điều kiện",$Q4)),ISNUMBER(SEARCH("Đủ 7 ngày nhưng",$Q4))),"Đã nghỉ",IF(AND(OR(ISNUMBER(SEARCH("Đủ điều kiện",$Q4)),ISNUMBER(SEARCH("Đã có số thẻ",$Q4))),$R4&lt;&gt;""),IFERROR(INDEX('06_DS_Chinh_Thuc'!$K:$K,MATCH($R4,'06_DS_Chinh_Thuc'!$B:$B,0)),"Đang theo dõi"),"Đang theo dõi")))</f>
        <v>Đang làm</v>
      </c>
      <c r="T4" s="83"/>
      <c r="U4" s="83"/>
      <c r="V4" s="83"/>
      <c r="W4" s="83"/>
      <c r="X4" s="83"/>
      <c r="Y4" s="83"/>
      <c r="Z4" s="83"/>
    </row>
    <row r="5" ht="27" customHeight="1" spans="1:26" x14ac:dyDescent="0.25">
      <c r="A5" s="84">
        <f t="shared" si="0"/>
        <v>4</v>
      </c>
      <c r="B5" s="84" t="s">
        <v>575</v>
      </c>
      <c r="C5" s="84" t="str">
        <f t="array" ref="C5">IF(B5="","",IFERROR(INDEX('03_Ho_So_Nhan_Vien'!$E:$E,MATCH(B5,'03_Ho_So_Nhan_Vien'!$C:$C,0)),"Không tìm thấy Mã NV"))</f>
        <v>Võ Quốc Kiệt</v>
      </c>
      <c r="D5" s="85">
        <f t="array" ref="D5">IF(B5="","",IFERROR(INDEX('02_DS_Nhan_Viec'!$E:$E,MATCH(B5,'02_DS_Nhan_Viec'!$J:$J,0)),""))</f>
        <v>46218</v>
      </c>
      <c r="E5" s="86">
        <v>8</v>
      </c>
      <c r="F5" s="86">
        <v>8</v>
      </c>
      <c r="G5" s="86">
        <v>8</v>
      </c>
      <c r="H5" s="86">
        <v>8</v>
      </c>
      <c r="I5" s="86">
        <v>8</v>
      </c>
      <c r="J5" s="86">
        <v>8</v>
      </c>
      <c r="K5" s="86">
        <v>8</v>
      </c>
      <c r="L5" s="84">
        <f t="shared" si="1"/>
        <v>7</v>
      </c>
      <c r="M5" s="84" t="str">
        <f t="shared" si="2"/>
        <v>✅ ĐỦ 7 NGÀY - Đạt chuẩn</v>
      </c>
      <c r="N5" s="86" t="s">
        <v>576</v>
      </c>
      <c r="O5" s="84">
        <f t="shared" si="3"/>
        <v>4</v>
      </c>
      <c r="P5" s="73">
        <f t="shared" si="4"/>
        <v>46225</v>
      </c>
      <c r="Q5" s="52" t="str">
        <f t="shared" si="5"/>
        <v>🔵 Đã có số thẻ (NV cũ)</v>
      </c>
      <c r="R5" s="56">
        <v>483</v>
      </c>
      <c r="S5" s="61" t="str">
        <f t="array" ref="S5">IF($B5="","",IF(OR(ISNUMBER(SEARCH("Không đủ điều kiện",$Q5)),ISNUMBER(SEARCH("Đủ 7 ngày nhưng",$Q5))),"Đã nghỉ",IF(AND(OR(ISNUMBER(SEARCH("Đủ điều kiện",$Q5)),ISNUMBER(SEARCH("Đã có số thẻ",$Q5))),$R5&lt;&gt;""),IFERROR(INDEX('06_DS_Chinh_Thuc'!$K:$K,MATCH($R5,'06_DS_Chinh_Thuc'!$B:$B,0)),"Đang theo dõi"),"Đang theo dõi")))</f>
        <v>Đang làm</v>
      </c>
      <c r="T5" s="83"/>
      <c r="U5" s="83"/>
      <c r="V5" s="83"/>
      <c r="W5" s="83"/>
      <c r="X5" s="83"/>
      <c r="Y5" s="83"/>
      <c r="Z5" s="83"/>
    </row>
    <row r="6" ht="27" customHeight="1" spans="1:26" x14ac:dyDescent="0.25">
      <c r="A6" s="84">
        <f t="shared" si="0"/>
        <v>5</v>
      </c>
      <c r="B6" s="84" t="s">
        <v>577</v>
      </c>
      <c r="C6" s="84" t="str">
        <f t="array" ref="C6">IF(B6="","",IFERROR(INDEX('03_Ho_So_Nhan_Vien'!$E:$E,MATCH(B6,'03_Ho_So_Nhan_Vien'!$C:$C,0)),"Không tìm thấy Mã NV"))</f>
        <v>Nguyễn Thị Thuý</v>
      </c>
      <c r="D6" s="85">
        <f t="array" ref="D6">IF(B6="","",IFERROR(INDEX('02_DS_Nhan_Viec'!$E:$E,MATCH(B6,'02_DS_Nhan_Viec'!$J:$J,0)),""))</f>
        <v>46211</v>
      </c>
      <c r="E6" s="86">
        <v>8</v>
      </c>
      <c r="F6" s="86">
        <v>8</v>
      </c>
      <c r="G6" s="86">
        <v>8</v>
      </c>
      <c r="H6" s="86">
        <v>8</v>
      </c>
      <c r="I6" s="86">
        <v>8</v>
      </c>
      <c r="J6" s="86">
        <v>8</v>
      </c>
      <c r="K6" s="86">
        <v>8</v>
      </c>
      <c r="L6" s="84">
        <f t="shared" si="1"/>
        <v>7</v>
      </c>
      <c r="M6" s="84" t="str">
        <f t="shared" si="2"/>
        <v>✅ ĐỦ 7 NGÀY - Đạt chuẩn</v>
      </c>
      <c r="N6" s="86"/>
      <c r="O6" s="84">
        <f t="shared" si="3"/>
        <v>5</v>
      </c>
      <c r="P6" s="73">
        <f t="shared" si="4"/>
        <v>46218</v>
      </c>
      <c r="Q6" s="52" t="str">
        <f t="shared" si="5"/>
        <v>✅ Đủ điều kiện - Đưa đi lấy dấu vân tay</v>
      </c>
      <c r="R6" s="56">
        <v>477</v>
      </c>
      <c r="S6" s="61" t="str">
        <f t="array" ref="S6">IF($B6="","",IF(OR(ISNUMBER(SEARCH("Không đủ điều kiện",$Q6)),ISNUMBER(SEARCH("Đủ 7 ngày nhưng",$Q6))),"Đã nghỉ",IF(AND(OR(ISNUMBER(SEARCH("Đủ điều kiện",$Q6)),ISNUMBER(SEARCH("Đã có số thẻ",$Q6))),$R6&lt;&gt;""),IFERROR(INDEX('06_DS_Chinh_Thuc'!$K:$K,MATCH($R6,'06_DS_Chinh_Thuc'!$B:$B,0)),"Đang theo dõi"),"Đang theo dõi")))</f>
        <v>Đang làm</v>
      </c>
      <c r="T6" s="83"/>
      <c r="U6" s="83"/>
      <c r="V6" s="83"/>
      <c r="W6" s="83"/>
      <c r="X6" s="83"/>
      <c r="Y6" s="83"/>
      <c r="Z6" s="83"/>
    </row>
    <row r="7" ht="14.25" customHeight="1" spans="1:26" x14ac:dyDescent="0.25">
      <c r="A7" s="84">
        <f t="shared" si="0"/>
        <v>6</v>
      </c>
      <c r="B7" s="84" t="s">
        <v>578</v>
      </c>
      <c r="C7" s="84" t="str">
        <f t="array" ref="C7">IF(B7="","",IFERROR(INDEX('03_Ho_So_Nhan_Vien'!$E:$E,MATCH(B7,'03_Ho_So_Nhan_Vien'!$C:$C,0)),"Không tìm thấy Mã NV"))</f>
        <v>Bùi Thị Phương Anh</v>
      </c>
      <c r="D7" s="85">
        <f t="array" ref="D7">IF(B7="","",IFERROR(INDEX('02_DS_Nhan_Viec'!$E:$E,MATCH(B7,'02_DS_Nhan_Viec'!$J:$J,0)),""))</f>
        <v>46206</v>
      </c>
      <c r="E7" s="86">
        <v>8</v>
      </c>
      <c r="F7" s="86">
        <v>8</v>
      </c>
      <c r="G7" s="86">
        <v>8</v>
      </c>
      <c r="H7" s="86">
        <v>8</v>
      </c>
      <c r="I7" s="86">
        <v>8</v>
      </c>
      <c r="J7" s="86">
        <v>8</v>
      </c>
      <c r="K7" s="86">
        <v>8</v>
      </c>
      <c r="L7" s="84">
        <f t="shared" si="1"/>
        <v>7</v>
      </c>
      <c r="M7" s="84" t="str">
        <f t="shared" si="2"/>
        <v>✅ ĐỦ 7 NGÀY - Đạt chuẩn</v>
      </c>
      <c r="N7" s="86" t="s">
        <v>576</v>
      </c>
      <c r="O7" s="84">
        <f t="shared" si="3"/>
        <v>6</v>
      </c>
      <c r="P7" s="73">
        <f t="shared" si="4"/>
        <v>46213</v>
      </c>
      <c r="Q7" s="52" t="str">
        <f t="shared" si="5"/>
        <v>🔵 Đã có số thẻ (NV cũ)</v>
      </c>
      <c r="R7" s="56">
        <v>315</v>
      </c>
      <c r="S7" s="61" t="str">
        <f t="array" ref="S7">IF($B7="","",IF(OR(ISNUMBER(SEARCH("Không đủ điều kiện",$Q7)),ISNUMBER(SEARCH("Đủ 7 ngày nhưng",$Q7))),"Đã nghỉ",IF(AND(OR(ISNUMBER(SEARCH("Đủ điều kiện",$Q7)),ISNUMBER(SEARCH("Đã có số thẻ",$Q7))),$R7&lt;&gt;""),IFERROR(INDEX('06_DS_Chinh_Thuc'!$K:$K,MATCH($R7,'06_DS_Chinh_Thuc'!$B:$B,0)),"Đang theo dõi"),"Đang theo dõi")))</f>
        <v>Đã nghỉ</v>
      </c>
      <c r="T7" s="83"/>
      <c r="U7" s="83"/>
      <c r="V7" s="83"/>
      <c r="W7" s="83"/>
      <c r="X7" s="83"/>
      <c r="Y7" s="83"/>
      <c r="Z7" s="83"/>
    </row>
    <row r="8" ht="14.25" customHeight="1" spans="1:26" x14ac:dyDescent="0.25">
      <c r="A8" s="84">
        <f t="shared" si="0"/>
        <v>7</v>
      </c>
      <c r="B8" s="84" t="s">
        <v>579</v>
      </c>
      <c r="C8" s="84" t="str">
        <f t="array" ref="C8">IF(B8="","",IFERROR(INDEX('03_Ho_So_Nhan_Vien'!$E:$E,MATCH(B8,'03_Ho_So_Nhan_Vien'!$C:$C,0)),"Không tìm thấy Mã NV"))</f>
        <v>Lương Thị Thắm</v>
      </c>
      <c r="D8" s="85">
        <f t="array" ref="D8">IF(B8="","",IFERROR(INDEX('02_DS_Nhan_Viec'!$E:$E,MATCH(B8,'02_DS_Nhan_Viec'!$J:$J,0)),""))</f>
        <v>46205</v>
      </c>
      <c r="E8" s="86">
        <v>8</v>
      </c>
      <c r="F8" s="86">
        <v>0</v>
      </c>
      <c r="G8" s="86">
        <v>0</v>
      </c>
      <c r="H8" s="86">
        <v>0</v>
      </c>
      <c r="I8" s="86">
        <v>0</v>
      </c>
      <c r="J8" s="86">
        <v>0</v>
      </c>
      <c r="K8" s="86">
        <v>0</v>
      </c>
      <c r="L8" s="84">
        <f t="shared" si="1"/>
        <v>1</v>
      </c>
      <c r="M8" s="84" t="str">
        <f t="shared" ref="M8:M19" si="6">IF(B8="","",
IF(L8&gt;=7,"✅ ĐỦ 7 NGÀY - Đạt chuẩn",
IF(AND(P8&lt;&gt;"",TODAY()&gt;P8+3),"❌ Không đạt chuẩn (quá hạn "&amp;(TODAY()-P8)&amp;" ngày)",
IF(COUNTIF(E8:K8,"&gt;0")&lt;7,"⏳ Đang theo dõi ("&amp;COUNTIF(E8:K8,"&gt;0")&amp;"/7 ngày đã làm)",
"⚠ Đủ 7 ngày nhưng chưa đạt chuẩn ("&amp;L8&amp;"/7)"))))</f>
        <v>❌ Không đạt chuẩn (quá hạn 58 ngày)</v>
      </c>
      <c r="N8" s="86" t="s">
        <v>576</v>
      </c>
      <c r="O8" s="84">
        <f t="shared" si="3"/>
      </c>
      <c r="P8" s="73">
        <f t="shared" si="4"/>
        <v>46212</v>
      </c>
      <c r="Q8" s="52" t="str">
        <f t="shared" si="5"/>
        <v>🔵 Đã có số thẻ (NV cũ)</v>
      </c>
      <c r="R8" s="56">
        <v>267</v>
      </c>
      <c r="S8" s="61" t="str">
        <f t="array" ref="S8">IF($B8="","",IF(OR(ISNUMBER(SEARCH("Không đủ điều kiện",$Q8)),ISNUMBER(SEARCH("Đủ 7 ngày nhưng",$Q8))),"Đã nghỉ",IF(AND(OR(ISNUMBER(SEARCH("Đủ điều kiện",$Q8)),ISNUMBER(SEARCH("Đã có số thẻ",$Q8))),$R8&lt;&gt;""),IFERROR(INDEX('06_DS_Chinh_Thuc'!$K:$K,MATCH($R8,'06_DS_Chinh_Thuc'!$B:$B,0)),"Đang theo dõi"),"Đang theo dõi")))</f>
        <v>Đang theo dõi</v>
      </c>
      <c r="T8" s="83"/>
      <c r="U8" s="83"/>
      <c r="V8" s="83"/>
      <c r="W8" s="83"/>
      <c r="X8" s="83"/>
      <c r="Y8" s="83"/>
      <c r="Z8" s="83"/>
    </row>
    <row r="9" ht="27" customHeight="1" spans="1:26" x14ac:dyDescent="0.25">
      <c r="A9" s="84">
        <f t="shared" si="0"/>
        <v>8</v>
      </c>
      <c r="B9" s="84" t="s">
        <v>580</v>
      </c>
      <c r="C9" s="84" t="str">
        <f t="array" ref="C9">IF(B9="","",IFERROR(INDEX('03_Ho_So_Nhan_Vien'!$E:$E,MATCH(B9,'03_Ho_So_Nhan_Vien'!$C:$C,0)),"Không tìm thấy Mã NV"))</f>
        <v>Cao Thị Thu Phương</v>
      </c>
      <c r="D9" s="85">
        <f t="array" ref="D9">IF(B9="","",IFERROR(INDEX('02_DS_Nhan_Viec'!$E:$E,MATCH(B9,'02_DS_Nhan_Viec'!$J:$J,0)),""))</f>
        <v>46244</v>
      </c>
      <c r="E9" s="86">
        <v>8</v>
      </c>
      <c r="F9" s="86">
        <v>8</v>
      </c>
      <c r="G9" s="86">
        <v>8</v>
      </c>
      <c r="H9" s="86">
        <v>8</v>
      </c>
      <c r="I9" s="86">
        <v>8</v>
      </c>
      <c r="J9" s="86">
        <v>8</v>
      </c>
      <c r="K9" s="86">
        <v>8</v>
      </c>
      <c r="L9" s="84">
        <f t="shared" si="1"/>
        <v>7</v>
      </c>
      <c r="M9" s="84" t="str">
        <f t="shared" si="6"/>
        <v>✅ ĐỦ 7 NGÀY - Đạt chuẩn</v>
      </c>
      <c r="N9" s="86"/>
      <c r="O9" s="84">
        <f t="shared" si="3"/>
        <v>7</v>
      </c>
      <c r="P9" s="73">
        <f t="shared" si="4"/>
        <v>46251</v>
      </c>
      <c r="Q9" s="52" t="str">
        <f t="shared" si="5"/>
        <v>✅ Đủ điều kiện - Đưa đi lấy dấu vân tay</v>
      </c>
      <c r="R9" s="56">
        <v>492</v>
      </c>
      <c r="S9" s="61" t="str">
        <f t="array" ref="S9">IF($B9="","",IF(OR(ISNUMBER(SEARCH("Không đủ điều kiện",$Q9)),ISNUMBER(SEARCH("Đủ 7 ngày nhưng",$Q9))),"Đã nghỉ",IF(AND(OR(ISNUMBER(SEARCH("Đủ điều kiện",$Q9)),ISNUMBER(SEARCH("Đã có số thẻ",$Q9))),$R9&lt;&gt;""),IFERROR(INDEX('06_DS_Chinh_Thuc'!$K:$K,MATCH($R9,'06_DS_Chinh_Thuc'!$B:$B,0)),"Đang theo dõi"),"Đang theo dõi")))</f>
        <v>Đã nghỉ</v>
      </c>
      <c r="T9" s="83"/>
      <c r="U9" s="83"/>
      <c r="V9" s="83"/>
      <c r="W9" s="83"/>
      <c r="X9" s="83"/>
      <c r="Y9" s="83"/>
      <c r="Z9" s="83"/>
    </row>
    <row r="10" ht="27" customHeight="1" spans="1:26" x14ac:dyDescent="0.25">
      <c r="A10" s="84">
        <f t="shared" si="0"/>
        <v>9</v>
      </c>
      <c r="B10" s="84" t="s">
        <v>581</v>
      </c>
      <c r="C10" s="84" t="str">
        <f t="array" ref="C10">IF(B10="","",IFERROR(INDEX('03_Ho_So_Nhan_Vien'!$E:$E,MATCH(B10,'03_Ho_So_Nhan_Vien'!$C:$C,0)),"Không tìm thấy Mã NV"))</f>
        <v>Lâm Hữu An</v>
      </c>
      <c r="D10" s="85">
        <f t="array" ref="D10">IF(B10="","",IFERROR(INDEX('02_DS_Nhan_Viec'!$E:$E,MATCH(B10,'02_DS_Nhan_Viec'!$J:$J,0)),""))</f>
        <v>46248</v>
      </c>
      <c r="E10" s="86">
        <v>8</v>
      </c>
      <c r="F10" s="86">
        <v>8</v>
      </c>
      <c r="G10" s="86">
        <v>8</v>
      </c>
      <c r="H10" s="86">
        <v>8</v>
      </c>
      <c r="I10" s="86">
        <v>8</v>
      </c>
      <c r="J10" s="86">
        <v>8</v>
      </c>
      <c r="K10" s="86">
        <v>8</v>
      </c>
      <c r="L10" s="84">
        <f t="shared" si="1"/>
        <v>7</v>
      </c>
      <c r="M10" s="84" t="str">
        <f t="shared" si="6"/>
        <v>✅ ĐỦ 7 NGÀY - Đạt chuẩn</v>
      </c>
      <c r="N10" s="86"/>
      <c r="O10" s="84">
        <f t="shared" si="3"/>
        <v>8</v>
      </c>
      <c r="P10" s="73">
        <f t="shared" si="4"/>
        <v>46255</v>
      </c>
      <c r="Q10" s="52" t="str">
        <f t="shared" si="5"/>
        <v>✅ Đủ điều kiện - Đưa đi lấy dấu vân tay</v>
      </c>
      <c r="R10" s="56">
        <v>495</v>
      </c>
      <c r="S10" s="61" t="str">
        <f t="array" ref="S10">IF($B10="","",IF(OR(ISNUMBER(SEARCH("Không đủ điều kiện",$Q10)),ISNUMBER(SEARCH("Đủ 7 ngày nhưng",$Q10))),"Đã nghỉ",IF(AND(OR(ISNUMBER(SEARCH("Đủ điều kiện",$Q10)),ISNUMBER(SEARCH("Đã có số thẻ",$Q10))),$R10&lt;&gt;""),IFERROR(INDEX('06_DS_Chinh_Thuc'!$K:$K,MATCH($R10,'06_DS_Chinh_Thuc'!$B:$B,0)),"Đang theo dõi"),"Đang theo dõi")))</f>
        <v>Đang làm</v>
      </c>
      <c r="T10" s="83"/>
      <c r="U10" s="83"/>
      <c r="V10" s="83"/>
      <c r="W10" s="83"/>
      <c r="X10" s="83"/>
      <c r="Y10" s="83"/>
      <c r="Z10" s="83"/>
    </row>
    <row r="11" ht="27" customHeight="1" spans="1:26" x14ac:dyDescent="0.25">
      <c r="A11" s="84">
        <f t="shared" si="0"/>
        <v>10</v>
      </c>
      <c r="B11" s="84" t="s">
        <v>582</v>
      </c>
      <c r="C11" s="84" t="str">
        <f t="array" ref="C11">IF(B11="","",IFERROR(INDEX('03_Ho_So_Nhan_Vien'!$E:$E,MATCH(B11,'03_Ho_So_Nhan_Vien'!$C:$C,0)),"Không tìm thấy Mã NV"))</f>
        <v>Trần Ngọc Bảo Trân</v>
      </c>
      <c r="D11" s="85">
        <f t="array" ref="D11">IF(B11="","",IFERROR(INDEX('02_DS_Nhan_Viec'!$E:$E,MATCH(B11,'02_DS_Nhan_Viec'!$J:$J,0)),""))</f>
        <v>46244</v>
      </c>
      <c r="E11" s="86">
        <v>8</v>
      </c>
      <c r="F11" s="86">
        <v>8</v>
      </c>
      <c r="G11" s="86">
        <v>8</v>
      </c>
      <c r="H11" s="86"/>
      <c r="I11" s="86"/>
      <c r="J11" s="86"/>
      <c r="K11" s="86"/>
      <c r="L11" s="84">
        <f t="shared" si="1"/>
        <v>3</v>
      </c>
      <c r="M11" s="84" t="str">
        <f t="shared" si="6"/>
        <v>❌ Không đạt chuẩn (quá hạn 19 ngày)</v>
      </c>
      <c r="N11" s="86"/>
      <c r="O11" s="84">
        <f t="shared" si="3"/>
      </c>
      <c r="P11" s="73">
        <f t="shared" si="4"/>
        <v>46251</v>
      </c>
      <c r="Q11" s="52" t="str">
        <f t="shared" si="5"/>
        <v>❌ Không đủ điều kiện (quá hạn)</v>
      </c>
      <c r="R11" s="83"/>
      <c r="S11" s="61" t="str">
        <f t="array" ref="S11">IF($B11="","",IF(OR(ISNUMBER(SEARCH("Không đủ điều kiện",$Q11)),ISNUMBER(SEARCH("Đủ 7 ngày nhưng",$Q11))),"Đã nghỉ",IF(AND(OR(ISNUMBER(SEARCH("Đủ điều kiện",$Q11)),ISNUMBER(SEARCH("Đã có số thẻ",$Q11))),$R11&lt;&gt;""),IFERROR(INDEX('06_DS_Chinh_Thuc'!$K:$K,MATCH($R11,'06_DS_Chinh_Thuc'!$B:$B,0)),"Đang theo dõi"),"Đang theo dõi")))</f>
        <v>Đã nghỉ</v>
      </c>
      <c r="T11" s="83"/>
      <c r="U11" s="83"/>
      <c r="V11" s="83"/>
      <c r="W11" s="83"/>
      <c r="X11" s="83"/>
      <c r="Y11" s="83"/>
      <c r="Z11" s="83"/>
    </row>
    <row r="12" ht="27" customHeight="1" spans="1:26" x14ac:dyDescent="0.25">
      <c r="A12" s="84">
        <f t="shared" si="0"/>
        <v>11</v>
      </c>
      <c r="B12" s="84" t="s">
        <v>583</v>
      </c>
      <c r="C12" s="84" t="str">
        <f t="array" ref="C12">IF(B12="","",IFERROR(INDEX('03_Ho_So_Nhan_Vien'!$E:$E,MATCH(B12,'03_Ho_So_Nhan_Vien'!$C:$C,0)),"Không tìm thấy Mã NV"))</f>
        <v>Chu Nữ Ngọc Song Linh</v>
      </c>
      <c r="D12" s="85">
        <f t="array" ref="D12">IF(B12="","",IFERROR(INDEX('02_DS_Nhan_Viec'!$E:$E,MATCH(B12,'02_DS_Nhan_Viec'!$J:$J,0)),""))</f>
        <v>46244</v>
      </c>
      <c r="E12" s="86">
        <v>8</v>
      </c>
      <c r="F12" s="86">
        <v>8</v>
      </c>
      <c r="G12" s="86">
        <v>8</v>
      </c>
      <c r="H12" s="86">
        <v>8</v>
      </c>
      <c r="I12" s="86">
        <v>8</v>
      </c>
      <c r="J12" s="86">
        <v>8</v>
      </c>
      <c r="K12" s="86">
        <v>8</v>
      </c>
      <c r="L12" s="84">
        <f t="shared" si="1"/>
        <v>7</v>
      </c>
      <c r="M12" s="84" t="str">
        <f t="shared" si="6"/>
        <v>✅ ĐỦ 7 NGÀY - Đạt chuẩn</v>
      </c>
      <c r="N12" s="86"/>
      <c r="O12" s="84">
        <f t="shared" si="3"/>
        <v>9</v>
      </c>
      <c r="P12" s="73">
        <f t="shared" si="4"/>
        <v>46251</v>
      </c>
      <c r="Q12" s="52" t="str">
        <f t="shared" si="5"/>
        <v>✅ Đủ điều kiện - Đưa đi lấy dấu vân tay</v>
      </c>
      <c r="R12" s="56">
        <v>493</v>
      </c>
      <c r="S12" s="61" t="str">
        <f t="array" ref="S12">IF($B12="","",IF(OR(ISNUMBER(SEARCH("Không đủ điều kiện",$Q12)),ISNUMBER(SEARCH("Đủ 7 ngày nhưng",$Q12))),"Đã nghỉ",IF(AND(OR(ISNUMBER(SEARCH("Đủ điều kiện",$Q12)),ISNUMBER(SEARCH("Đã có số thẻ",$Q12))),$R12&lt;&gt;""),IFERROR(INDEX('06_DS_Chinh_Thuc'!$K:$K,MATCH($R12,'06_DS_Chinh_Thuc'!$B:$B,0)),"Đang theo dõi"),"Đang theo dõi")))</f>
        <v>Đang làm</v>
      </c>
      <c r="T12" s="83"/>
      <c r="U12" s="83"/>
      <c r="V12" s="83"/>
      <c r="W12" s="83"/>
      <c r="X12" s="83"/>
      <c r="Y12" s="83"/>
      <c r="Z12" s="83"/>
    </row>
    <row r="13" ht="27" customHeight="1" spans="1:26" x14ac:dyDescent="0.25">
      <c r="A13" s="84">
        <f t="shared" si="0"/>
        <v>12</v>
      </c>
      <c r="B13" s="84" t="s">
        <v>584</v>
      </c>
      <c r="C13" s="84" t="str">
        <f t="array" ref="C13">IF(B13="","",IFERROR(INDEX('03_Ho_So_Nhan_Vien'!$E:$E,MATCH(B13,'03_Ho_So_Nhan_Vien'!$C:$C,0)),"Không tìm thấy Mã NV"))</f>
        <v>Trần Thị Đó</v>
      </c>
      <c r="D13" s="85">
        <f t="array" ref="D13">IF(B13="","",IFERROR(INDEX('02_DS_Nhan_Viec'!$E:$E,MATCH(B13,'02_DS_Nhan_Viec'!$J:$J,0)),""))</f>
        <v>46246</v>
      </c>
      <c r="E13" s="86">
        <v>8</v>
      </c>
      <c r="F13" s="86">
        <v>8</v>
      </c>
      <c r="G13" s="86">
        <v>8</v>
      </c>
      <c r="H13" s="86">
        <v>8</v>
      </c>
      <c r="I13" s="86">
        <v>8</v>
      </c>
      <c r="J13" s="86">
        <v>8</v>
      </c>
      <c r="K13" s="86">
        <v>8</v>
      </c>
      <c r="L13" s="84">
        <f t="shared" si="1"/>
        <v>7</v>
      </c>
      <c r="M13" s="84" t="str">
        <f t="shared" si="6"/>
        <v>✅ ĐỦ 7 NGÀY - Đạt chuẩn</v>
      </c>
      <c r="N13" s="86" t="s">
        <v>534</v>
      </c>
      <c r="O13" s="84">
        <f t="shared" si="3"/>
        <v>10</v>
      </c>
      <c r="P13" s="73">
        <f t="shared" si="4"/>
        <v>46253</v>
      </c>
      <c r="Q13" s="52" t="str">
        <f t="shared" si="5"/>
        <v>✅ Đủ điều kiện - Đưa đi lấy dấu vân tay</v>
      </c>
      <c r="R13" s="56">
        <v>183</v>
      </c>
      <c r="S13" s="61" t="str">
        <f t="array" ref="S13">IF($B13="","",IF(OR(ISNUMBER(SEARCH("Không đủ điều kiện",$Q13)),ISNUMBER(SEARCH("Đủ 7 ngày nhưng",$Q13))),"Đã nghỉ",IF(AND(OR(ISNUMBER(SEARCH("Đủ điều kiện",$Q13)),ISNUMBER(SEARCH("Đã có số thẻ",$Q13))),$R13&lt;&gt;""),IFERROR(INDEX('06_DS_Chinh_Thuc'!$K:$K,MATCH($R13,'06_DS_Chinh_Thuc'!$B:$B,0)),"Đang theo dõi"),"Đang theo dõi")))</f>
        <v>Đang làm</v>
      </c>
      <c r="T13" s="83"/>
      <c r="U13" s="83"/>
      <c r="V13" s="83"/>
      <c r="W13" s="83"/>
      <c r="X13" s="83"/>
      <c r="Y13" s="83"/>
      <c r="Z13" s="83"/>
    </row>
    <row r="14" ht="27" customHeight="1" spans="1:26" x14ac:dyDescent="0.25">
      <c r="A14" s="84">
        <f t="shared" si="0"/>
        <v>13</v>
      </c>
      <c r="B14" s="84" t="s">
        <v>585</v>
      </c>
      <c r="C14" s="84" t="str">
        <f t="array" ref="C14">IF(B14="","",IFERROR(INDEX('03_Ho_So_Nhan_Vien'!$E:$E,MATCH(B14,'03_Ho_So_Nhan_Vien'!$C:$C,0)),"Không tìm thấy Mã NV"))</f>
        <v>Nguyễn Hữu Đức</v>
      </c>
      <c r="D14" s="85">
        <f t="array" ref="D14">IF(B14="","",IFERROR(INDEX('02_DS_Nhan_Viec'!$E:$E,MATCH(B14,'02_DS_Nhan_Viec'!$J:$J,0)),""))</f>
        <v>46252</v>
      </c>
      <c r="E14" s="86">
        <v>4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</v>
      </c>
      <c r="L14" s="84">
        <f t="shared" si="1"/>
      </c>
      <c r="M14" s="84" t="str">
        <f t="shared" si="6"/>
        <v>❌ Không đạt chuẩn (quá hạn 11 ngày)</v>
      </c>
      <c r="N14" s="86" t="s">
        <v>534</v>
      </c>
      <c r="O14" s="84">
        <f t="shared" si="3"/>
      </c>
      <c r="P14" s="73">
        <f t="shared" si="4"/>
        <v>46259</v>
      </c>
      <c r="Q14" s="52" t="str">
        <f t="shared" si="5"/>
        <v>❌ Không đủ điều kiện (quá hạn)</v>
      </c>
      <c r="R14" s="56"/>
      <c r="S14" s="61" t="str">
        <f t="array" ref="S14">IF($B14="","",IF(OR(ISNUMBER(SEARCH("Không đủ điều kiện",$Q14)),ISNUMBER(SEARCH("Đủ 7 ngày nhưng",$Q14))),"Đã nghỉ",IF(AND(OR(ISNUMBER(SEARCH("Đủ điều kiện",$Q14)),ISNUMBER(SEARCH("Đã có số thẻ",$Q14))),$R14&lt;&gt;""),IFERROR(INDEX('06_DS_Chinh_Thuc'!$K:$K,MATCH($R14,'06_DS_Chinh_Thuc'!$B:$B,0)),"Đang theo dõi"),"Đang theo dõi")))</f>
        <v>Đã nghỉ</v>
      </c>
      <c r="T14" s="83"/>
      <c r="U14" s="83"/>
      <c r="V14" s="83"/>
      <c r="W14" s="83"/>
      <c r="X14" s="83"/>
      <c r="Y14" s="83"/>
      <c r="Z14" s="83"/>
    </row>
    <row r="15" ht="27" customHeight="1" spans="1:26" x14ac:dyDescent="0.25">
      <c r="A15" s="84">
        <f t="shared" si="0"/>
        <v>14</v>
      </c>
      <c r="B15" s="84" t="s">
        <v>586</v>
      </c>
      <c r="C15" s="84" t="str">
        <f t="array" ref="C15">IF(B15="","",IFERROR(INDEX('03_Ho_So_Nhan_Vien'!$E:$E,MATCH(B15,'03_Ho_So_Nhan_Vien'!$C:$C,0)),"Không tìm thấy Mã NV"))</f>
        <v>Võ Thị Thanh Tuyền</v>
      </c>
      <c r="D15" s="85">
        <f t="array" ref="D15">IF(B15="","",IFERROR(INDEX('02_DS_Nhan_Viec'!$E:$E,MATCH(B15,'02_DS_Nhan_Viec'!$J:$J,0)),""))</f>
        <v>46252</v>
      </c>
      <c r="E15" s="86">
        <v>4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4">
        <f t="shared" si="1"/>
      </c>
      <c r="M15" s="84" t="str">
        <f t="shared" si="6"/>
        <v>❌ Không đạt chuẩn (quá hạn 11 ngày)</v>
      </c>
      <c r="N15" s="86"/>
      <c r="O15" s="84">
        <f t="shared" si="3"/>
      </c>
      <c r="P15" s="73">
        <f t="shared" si="4"/>
        <v>46259</v>
      </c>
      <c r="Q15" s="52" t="str">
        <f t="shared" si="5"/>
        <v>❌ Không đủ điều kiện (quá hạn)</v>
      </c>
      <c r="R15" s="56"/>
      <c r="S15" s="61" t="str">
        <f t="array" ref="S15">IF($B15="","",IF(OR(ISNUMBER(SEARCH("Không đủ điều kiện",$Q15)),ISNUMBER(SEARCH("Đủ 7 ngày nhưng",$Q15))),"Đã nghỉ",IF(AND(OR(ISNUMBER(SEARCH("Đủ điều kiện",$Q15)),ISNUMBER(SEARCH("Đã có số thẻ",$Q15))),$R15&lt;&gt;""),IFERROR(INDEX('06_DS_Chinh_Thuc'!$K:$K,MATCH($R15,'06_DS_Chinh_Thuc'!$B:$B,0)),"Đang theo dõi"),"Đang theo dõi")))</f>
        <v>Đã nghỉ</v>
      </c>
      <c r="T15" s="83"/>
      <c r="U15" s="83"/>
      <c r="V15" s="83"/>
      <c r="W15" s="83"/>
      <c r="X15" s="83"/>
      <c r="Y15" s="83"/>
      <c r="Z15" s="83"/>
    </row>
    <row r="16" ht="14.25" customHeight="1" spans="1:26" x14ac:dyDescent="0.25">
      <c r="A16" s="84">
        <f t="shared" si="0"/>
        <v>15</v>
      </c>
      <c r="B16" s="84" t="s">
        <v>587</v>
      </c>
      <c r="C16" s="84" t="str">
        <f t="array" ref="C16">IF(B16="","",IFERROR(INDEX('03_Ho_So_Nhan_Vien'!$E:$E,MATCH(B16,'03_Ho_So_Nhan_Vien'!$C:$C,0)),"Không tìm thấy Mã NV"))</f>
        <v>Phan Văn Cánh</v>
      </c>
      <c r="D16" s="85">
        <f t="array" ref="D16">IF(B16="","",IFERROR(INDEX('02_DS_Nhan_Viec'!$E:$E,MATCH(B16,'02_DS_Nhan_Viec'!$J:$J,0)),""))</f>
        <v>46256</v>
      </c>
      <c r="E16" s="86">
        <v>8</v>
      </c>
      <c r="F16" s="86">
        <v>8</v>
      </c>
      <c r="G16" s="86">
        <v>8</v>
      </c>
      <c r="H16" s="86">
        <v>8</v>
      </c>
      <c r="I16" s="86">
        <v>8</v>
      </c>
      <c r="J16" s="86">
        <v>8</v>
      </c>
      <c r="K16" s="86">
        <v>8</v>
      </c>
      <c r="L16" s="84">
        <f t="shared" si="1"/>
        <v>7</v>
      </c>
      <c r="M16" s="84" t="str">
        <f t="shared" si="6"/>
        <v>✅ ĐỦ 7 NGÀY - Đạt chuẩn</v>
      </c>
      <c r="N16" s="86"/>
      <c r="O16" s="84">
        <f t="shared" si="3"/>
        <v>11</v>
      </c>
      <c r="P16" s="73">
        <f t="shared" si="4"/>
        <v>46263</v>
      </c>
      <c r="Q16" s="52" t="str">
        <f t="shared" si="5"/>
        <v>✅ Đủ điều kiện - Đưa đi lấy dấu vân tay</v>
      </c>
      <c r="R16" s="56">
        <v>496</v>
      </c>
      <c r="S16" s="61" t="str">
        <f t="array" ref="S16">IF($B16="","",IF(OR(ISNUMBER(SEARCH("Không đủ điều kiện",$Q16)),ISNUMBER(SEARCH("Đủ 7 ngày nhưng",$Q16))),"Đã nghỉ",IF(AND(OR(ISNUMBER(SEARCH("Đủ điều kiện",$Q16)),ISNUMBER(SEARCH("Đã có số thẻ",$Q16))),$R16&lt;&gt;""),IFERROR(INDEX('06_DS_Chinh_Thuc'!$K:$K,MATCH($R16,'06_DS_Chinh_Thuc'!$B:$B,0)),"Đang theo dõi"),"Đang theo dõi")))</f>
        <v>Đã nghỉ</v>
      </c>
      <c r="T16" s="83"/>
      <c r="U16" s="83"/>
      <c r="V16" s="83"/>
      <c r="W16" s="83"/>
      <c r="X16" s="83"/>
      <c r="Y16" s="83"/>
      <c r="Z16" s="83"/>
    </row>
    <row r="17" ht="14.25" customHeight="1" spans="1:26" x14ac:dyDescent="0.25">
      <c r="A17" s="84">
        <f t="shared" si="0"/>
        <v>16</v>
      </c>
      <c r="B17" s="84" t="s">
        <v>588</v>
      </c>
      <c r="C17" s="84" t="str">
        <f t="array" ref="C17">IF(B17="","",IFERROR(INDEX('03_Ho_So_Nhan_Vien'!$E:$E,MATCH(B17,'03_Ho_So_Nhan_Vien'!$C:$C,0)),"Không tìm thấy Mã NV"))</f>
        <v>Nguyễn Văn Nhơn</v>
      </c>
      <c r="D17" s="85">
        <f t="array" ref="D17">IF(B17="","",IFERROR(INDEX('02_DS_Nhan_Viec'!$E:$E,MATCH(B17,'02_DS_Nhan_Viec'!$J:$J,0)),""))</f>
        <v>46256</v>
      </c>
      <c r="E17" s="86">
        <v>8</v>
      </c>
      <c r="F17" s="86">
        <v>8</v>
      </c>
      <c r="G17" s="86">
        <v>8</v>
      </c>
      <c r="H17" s="86">
        <v>8</v>
      </c>
      <c r="I17" s="86">
        <v>8</v>
      </c>
      <c r="J17" s="86">
        <v>8</v>
      </c>
      <c r="K17" s="86">
        <v>8</v>
      </c>
      <c r="L17" s="84">
        <f t="shared" si="1"/>
        <v>7</v>
      </c>
      <c r="M17" s="84" t="str">
        <f t="shared" si="6"/>
        <v>✅ ĐỦ 7 NGÀY - Đạt chuẩn</v>
      </c>
      <c r="N17" s="86"/>
      <c r="O17" s="84">
        <f t="shared" si="3"/>
        <v>12</v>
      </c>
      <c r="P17" s="73">
        <f t="shared" si="4"/>
        <v>46263</v>
      </c>
      <c r="Q17" s="52" t="str">
        <f t="shared" si="5"/>
        <v>✅ Đủ điều kiện - Đưa đi lấy dấu vân tay</v>
      </c>
      <c r="R17" s="56">
        <v>499</v>
      </c>
      <c r="S17" s="61" t="str">
        <f t="array" ref="S17">IF($B17="","",IF(OR(ISNUMBER(SEARCH("Không đủ điều kiện",$Q17)),ISNUMBER(SEARCH("Đủ 7 ngày nhưng",$Q17))),"Đã nghỉ",IF(AND(OR(ISNUMBER(SEARCH("Đủ điều kiện",$Q17)),ISNUMBER(SEARCH("Đã có số thẻ",$Q17))),$R17&lt;&gt;""),IFERROR(INDEX('06_DS_Chinh_Thuc'!$K:$K,MATCH($R17,'06_DS_Chinh_Thuc'!$B:$B,0)),"Đang theo dõi"),"Đang theo dõi")))</f>
        <v>Đang làm</v>
      </c>
      <c r="T17" s="83"/>
      <c r="U17" s="83"/>
      <c r="V17" s="83"/>
      <c r="W17" s="83"/>
      <c r="X17" s="83"/>
      <c r="Y17" s="83"/>
      <c r="Z17" s="83"/>
    </row>
    <row r="18" ht="14.25" customHeight="1" spans="1:26" x14ac:dyDescent="0.25">
      <c r="A18" s="84">
        <f t="shared" si="0"/>
        <v>17</v>
      </c>
      <c r="B18" s="84" t="s">
        <v>589</v>
      </c>
      <c r="C18" s="84" t="str">
        <f t="array" ref="C18">IF(B18="","",IFERROR(INDEX('03_Ho_So_Nhan_Vien'!$E:$E,MATCH(B18,'03_Ho_So_Nhan_Vien'!$C:$C,0)),"Không tìm thấy Mã NV"))</f>
        <v>Nguyễn Nam Phương</v>
      </c>
      <c r="D18" s="85">
        <f t="array" ref="D18">IF(B18="","",IFERROR(INDEX('02_DS_Nhan_Viec'!$E:$E,MATCH(B18,'02_DS_Nhan_Viec'!$J:$J,0)),""))</f>
        <v>46256</v>
      </c>
      <c r="E18" s="86">
        <v>8</v>
      </c>
      <c r="F18" s="86"/>
      <c r="G18" s="86"/>
      <c r="H18" s="86"/>
      <c r="I18" s="86"/>
      <c r="J18" s="86"/>
      <c r="K18" s="86"/>
      <c r="L18" s="84">
        <f t="shared" si="1"/>
        <v>1</v>
      </c>
      <c r="M18" s="84" t="str">
        <f t="shared" si="6"/>
        <v>❌ Không đạt chuẩn (quá hạn 7 ngày)</v>
      </c>
      <c r="N18" s="86"/>
      <c r="O18" s="84">
        <f t="shared" si="3"/>
      </c>
      <c r="P18" s="73">
        <f t="shared" si="4"/>
        <v>46263</v>
      </c>
      <c r="Q18" s="52" t="str">
        <f t="shared" si="5"/>
        <v>❌ Không đủ điều kiện (quá hạn)</v>
      </c>
      <c r="R18" s="56">
        <v>498</v>
      </c>
      <c r="S18" s="61" t="str">
        <f t="array" ref="S18">IF($B18="","",IF(OR(ISNUMBER(SEARCH("Không đủ điều kiện",$Q18)),ISNUMBER(SEARCH("Đủ 7 ngày nhưng",$Q18))),"Đã nghỉ",IF(AND(OR(ISNUMBER(SEARCH("Đủ điều kiện",$Q18)),ISNUMBER(SEARCH("Đã có số thẻ",$Q18))),$R18&lt;&gt;""),IFERROR(INDEX('06_DS_Chinh_Thuc'!$K:$K,MATCH($R18,'06_DS_Chinh_Thuc'!$B:$B,0)),"Đang theo dõi"),"Đang theo dõi")))</f>
        <v>Đã nghỉ</v>
      </c>
      <c r="T18" s="83"/>
      <c r="U18" s="83"/>
      <c r="V18" s="83"/>
      <c r="W18" s="83"/>
      <c r="X18" s="83"/>
      <c r="Y18" s="83"/>
      <c r="Z18" s="83"/>
    </row>
    <row r="19" ht="14.25" customHeight="1" spans="1:26" x14ac:dyDescent="0.25">
      <c r="A19" s="84">
        <f t="shared" si="0"/>
        <v>18</v>
      </c>
      <c r="B19" s="84" t="s">
        <v>590</v>
      </c>
      <c r="C19" s="84" t="str">
        <f t="array" ref="C19">IF(B19="","",IFERROR(INDEX('03_Ho_So_Nhan_Vien'!$E:$E,MATCH(B19,'03_Ho_So_Nhan_Vien'!$C:$C,0)),"Không tìm thấy Mã NV"))</f>
        <v>Thạch Thị Trúc Xuân</v>
      </c>
      <c r="D19" s="85">
        <f t="array" ref="D19">IF(B19="","",IFERROR(INDEX('02_DS_Nhan_Viec'!$E:$E,MATCH(B19,'02_DS_Nhan_Viec'!$J:$J,0)),""))</f>
        <v>46256</v>
      </c>
      <c r="E19" s="86">
        <v>8</v>
      </c>
      <c r="F19" s="86"/>
      <c r="G19" s="86"/>
      <c r="H19" s="86"/>
      <c r="I19" s="86"/>
      <c r="J19" s="86"/>
      <c r="K19" s="86"/>
      <c r="L19" s="84">
        <f t="shared" si="1"/>
        <v>1</v>
      </c>
      <c r="M19" s="84" t="str">
        <f t="shared" si="6"/>
        <v>❌ Không đạt chuẩn (quá hạn 7 ngày)</v>
      </c>
      <c r="N19" s="86"/>
      <c r="O19" s="84">
        <f t="shared" si="3"/>
      </c>
      <c r="P19" s="73">
        <f t="shared" si="4"/>
        <v>46263</v>
      </c>
      <c r="Q19" s="52" t="str">
        <f t="shared" si="5"/>
        <v>❌ Không đủ điều kiện (quá hạn)</v>
      </c>
      <c r="R19" s="56">
        <v>497</v>
      </c>
      <c r="S19" s="61" t="str">
        <f t="array" ref="S19">IF($B19="","",IF(OR(ISNUMBER(SEARCH("Không đủ điều kiện",$Q19)),ISNUMBER(SEARCH("Đủ 7 ngày nhưng",$Q19))),"Đã nghỉ",IF(AND(OR(ISNUMBER(SEARCH("Đủ điều kiện",$Q19)),ISNUMBER(SEARCH("Đã có số thẻ",$Q19))),$R19&lt;&gt;""),IFERROR(INDEX('06_DS_Chinh_Thuc'!$K:$K,MATCH($R19,'06_DS_Chinh_Thuc'!$B:$B,0)),"Đang theo dõi"),"Đang theo dõi")))</f>
        <v>Đã nghỉ</v>
      </c>
      <c r="T19" s="83"/>
      <c r="U19" s="83"/>
      <c r="V19" s="83"/>
      <c r="W19" s="83"/>
      <c r="X19" s="83"/>
      <c r="Y19" s="83"/>
      <c r="Z19" s="83"/>
    </row>
    <row r="20" ht="14.25" customHeight="1" spans="1:26" x14ac:dyDescent="0.25">
      <c r="A20" s="84">
        <f t="shared" si="0"/>
        <v>19</v>
      </c>
      <c r="B20" s="84" t="s">
        <v>591</v>
      </c>
      <c r="C20" s="84" t="str">
        <f t="array" ref="C20">IF(B20="","",IFERROR(INDEX('03_Ho_So_Nhan_Vien'!$E:$E,MATCH(B20,'03_Ho_So_Nhan_Vien'!$C:$C,0)),"Không tìm thấy Mã NV"))</f>
        <v>Nguyễn Văn Triết</v>
      </c>
      <c r="D20" s="85">
        <f t="array" ref="D20">IF(B20="","",IFERROR(INDEX('02_DS_Nhan_Viec'!$E:$E,MATCH(B20,'02_DS_Nhan_Viec'!$J:$J,0)),""))</f>
        <v>46268</v>
      </c>
      <c r="E20" s="86"/>
      <c r="F20" s="86"/>
      <c r="G20" s="86"/>
      <c r="H20" s="86"/>
      <c r="I20" s="86"/>
      <c r="J20" s="86"/>
      <c r="K20" s="86"/>
      <c r="L20" s="84">
        <f t="shared" si="1"/>
      </c>
      <c r="M20" s="84" t="str">
        <f t="shared" ref="M20:M151" si="7">IF(B20="","",IF(COUNT(E20:K20)&lt;7,"⏳ Đang theo dõi ("&amp;COUNT(E20:K20)&amp;"/7 ngày đã nhập)",IF(L20&gt;=7,"✅ ĐỦ 7 NGÀY - Đạt chuẩn","⚠ Đủ 7 ngày nhưng chưa đạt chuẩn ("&amp;L20&amp;"/7)")))</f>
        <v>⏳ Đang theo dõi (0/7 ngày đã nhập)</v>
      </c>
      <c r="N20" s="86"/>
      <c r="O20" s="84">
        <f t="shared" si="3"/>
      </c>
      <c r="P20" s="73">
        <f t="shared" si="4"/>
        <v>46275</v>
      </c>
      <c r="Q20" s="52" t="str">
        <f t="shared" ref="Q20:Q151" si="8">IF(B20="","",IF(ISNUMBER(SEARCH("Đạt chuẩn",M20)),"✅ Đủ điều kiện - Đưa đi lấy dấu vân tay",IF(COUNT(E20:K20)&lt;7,"⏳ Chưa đủ 7 ngày ("&amp;COUNT(E20:K20)&amp;"/7)","⚠ Đủ 7 ngày nhưng chưa đạt chuẩn")))</f>
        <v>⏳ Chưa đủ 7 ngày (0/7)</v>
      </c>
      <c r="R20" s="56"/>
      <c r="S20" s="61" t="str">
        <f t="array" ref="S20">IF($B20="","",IF($R20&lt;&gt;"",IFERROR(INDEX('06_DS_Chinh_Thuc'!$K:$K,MATCH($R20,'06_DS_Chinh_Thuc'!$B:$B,0)),"Đang theo dõi"),"Đang theo dõi"))</f>
        <v>Đang theo dõi</v>
      </c>
      <c r="T20" s="83"/>
      <c r="U20" s="83"/>
      <c r="V20" s="83"/>
      <c r="W20" s="83"/>
      <c r="X20" s="83"/>
      <c r="Y20" s="83"/>
      <c r="Z20" s="83"/>
    </row>
    <row r="21" ht="14.25" customHeight="1" spans="1:26" x14ac:dyDescent="0.25">
      <c r="A21" s="84">
        <f t="shared" si="0"/>
        <v>20</v>
      </c>
      <c r="B21" s="84" t="s">
        <v>592</v>
      </c>
      <c r="C21" s="84" t="str">
        <f t="array" ref="C21">IF(B21="","",IFERROR(INDEX('03_Ho_So_Nhan_Vien'!$E:$E,MATCH(B21,'03_Ho_So_Nhan_Vien'!$C:$C,0)),"Không tìm thấy Mã NV"))</f>
        <v>Trần Thị Thuỳ</v>
      </c>
      <c r="D21" s="85">
        <f t="array" ref="D21">IF(B21="","",IFERROR(INDEX('02_DS_Nhan_Viec'!$E:$E,MATCH(B21,'02_DS_Nhan_Viec'!$J:$J,0)),""))</f>
        <v>46268</v>
      </c>
      <c r="E21" s="86"/>
      <c r="F21" s="86"/>
      <c r="G21" s="86"/>
      <c r="H21" s="86"/>
      <c r="I21" s="86"/>
      <c r="J21" s="86"/>
      <c r="K21" s="86"/>
      <c r="L21" s="84">
        <f t="shared" si="1"/>
      </c>
      <c r="M21" s="84" t="str">
        <f t="shared" si="7"/>
        <v>⏳ Đang theo dõi (0/7 ngày đã nhập)</v>
      </c>
      <c r="N21" s="86"/>
      <c r="O21" s="84">
        <f t="shared" si="3"/>
      </c>
      <c r="P21" s="73">
        <f t="shared" si="4"/>
        <v>46275</v>
      </c>
      <c r="Q21" s="52" t="str">
        <f t="shared" si="8"/>
        <v>⏳ Chưa đủ 7 ngày (0/7)</v>
      </c>
      <c r="R21" s="56"/>
      <c r="S21" s="61" t="str">
        <f t="array" ref="S21">IF($B21="","",IF($R21&lt;&gt;"",IFERROR(INDEX('06_DS_Chinh_Thuc'!$K:$K,MATCH($R21,'06_DS_Chinh_Thuc'!$B:$B,0)),"Đang theo dõi"),"Đang theo dõi"))</f>
        <v>Đang theo dõi</v>
      </c>
      <c r="T21" s="83"/>
      <c r="U21" s="83"/>
      <c r="V21" s="83"/>
      <c r="W21" s="83"/>
      <c r="X21" s="83"/>
      <c r="Y21" s="83"/>
      <c r="Z21" s="83"/>
    </row>
    <row r="22" ht="14.25" customHeight="1" spans="1:26" x14ac:dyDescent="0.25">
      <c r="A22" s="84">
        <f t="shared" si="0"/>
        <v>21</v>
      </c>
      <c r="B22" s="84" t="s">
        <v>593</v>
      </c>
      <c r="C22" s="84" t="str">
        <f t="array" ref="C22">IF(B22="","",IFERROR(INDEX('03_Ho_So_Nhan_Vien'!$E:$E,MATCH(B22,'03_Ho_So_Nhan_Vien'!$C:$C,0)),"Không tìm thấy Mã NV"))</f>
        <v>Nguyễn Tuyết Ngân</v>
      </c>
      <c r="D22" s="85">
        <f t="array" ref="D22">IF(B22="","",IFERROR(INDEX('02_DS_Nhan_Viec'!$E:$E,MATCH(B22,'02_DS_Nhan_Viec'!$J:$J,0)),""))</f>
        <v>46270</v>
      </c>
      <c r="E22" s="86"/>
      <c r="F22" s="86"/>
      <c r="G22" s="86"/>
      <c r="H22" s="86"/>
      <c r="I22" s="86"/>
      <c r="J22" s="86"/>
      <c r="K22" s="86"/>
      <c r="L22" s="84">
        <f t="shared" si="1"/>
      </c>
      <c r="M22" s="84" t="str">
        <f t="shared" si="7"/>
        <v>⏳ Đang theo dõi (0/7 ngày đã nhập)</v>
      </c>
      <c r="N22" s="86"/>
      <c r="O22" s="84">
        <f t="shared" si="3"/>
      </c>
      <c r="P22" s="73">
        <f t="shared" si="4"/>
        <v>46277</v>
      </c>
      <c r="Q22" s="52" t="str">
        <f t="shared" si="8"/>
        <v>⏳ Chưa đủ 7 ngày (0/7)</v>
      </c>
      <c r="R22" s="56"/>
      <c r="S22" s="61" t="str">
        <f t="array" ref="S22">IF($B22="","",IF($R22&lt;&gt;"",IFERROR(INDEX('06_DS_Chinh_Thuc'!$K:$K,MATCH($R22,'06_DS_Chinh_Thuc'!$B:$B,0)),"Đang theo dõi"),"Đang theo dõi"))</f>
        <v>Đang theo dõi</v>
      </c>
      <c r="T22" s="83"/>
      <c r="U22" s="83"/>
      <c r="V22" s="83"/>
      <c r="W22" s="83"/>
      <c r="X22" s="83"/>
      <c r="Y22" s="83"/>
      <c r="Z22" s="83"/>
    </row>
    <row r="23" ht="14.25" customHeight="1" spans="1:26" x14ac:dyDescent="0.25">
      <c r="A23" s="84">
        <f t="shared" si="0"/>
        <v>22</v>
      </c>
      <c r="B23" s="84" t="s">
        <v>594</v>
      </c>
      <c r="C23" s="84" t="str">
        <f t="array" ref="C23">IF(B23="","",IFERROR(INDEX('03_Ho_So_Nhan_Vien'!$E:$E,MATCH(B23,'03_Ho_So_Nhan_Vien'!$C:$C,0)),"Không tìm thấy Mã NV"))</f>
        <v>Thạch Thị Giàu</v>
      </c>
      <c r="D23" s="85">
        <f t="array" ref="D23">IF(B23="","",IFERROR(INDEX('02_DS_Nhan_Viec'!$E:$E,MATCH(B23,'02_DS_Nhan_Viec'!$J:$J,0)),""))</f>
        <v>46270</v>
      </c>
      <c r="E23" s="86"/>
      <c r="F23" s="86"/>
      <c r="G23" s="86"/>
      <c r="H23" s="86"/>
      <c r="I23" s="86"/>
      <c r="J23" s="86"/>
      <c r="K23" s="86"/>
      <c r="L23" s="84">
        <f t="shared" si="1"/>
      </c>
      <c r="M23" s="84" t="str">
        <f t="shared" si="7"/>
        <v>⏳ Đang theo dõi (0/7 ngày đã nhập)</v>
      </c>
      <c r="N23" s="86"/>
      <c r="O23" s="84">
        <f t="shared" si="3"/>
      </c>
      <c r="P23" s="73">
        <f t="shared" si="4"/>
        <v>46277</v>
      </c>
      <c r="Q23" s="52" t="str">
        <f t="shared" si="8"/>
        <v>⏳ Chưa đủ 7 ngày (0/7)</v>
      </c>
      <c r="R23" s="56"/>
      <c r="S23" s="61" t="str">
        <f t="array" ref="S23">IF($B23="","",IF($R23&lt;&gt;"",IFERROR(INDEX('06_DS_Chinh_Thuc'!$K:$K,MATCH($R23,'06_DS_Chinh_Thuc'!$B:$B,0)),"Đang theo dõi"),"Đang theo dõi"))</f>
        <v>Đang theo dõi</v>
      </c>
      <c r="T23" s="83"/>
      <c r="U23" s="83"/>
      <c r="V23" s="83"/>
      <c r="W23" s="83"/>
      <c r="X23" s="83"/>
      <c r="Y23" s="83"/>
      <c r="Z23" s="83"/>
    </row>
    <row r="24" ht="14.25" customHeight="1" spans="1:26" x14ac:dyDescent="0.25">
      <c r="A24" s="84">
        <f t="shared" si="0"/>
        <v>23</v>
      </c>
      <c r="B24" s="84" t="s">
        <v>595</v>
      </c>
      <c r="C24" s="84" t="str">
        <f t="array" ref="C24">IF(B24="","",IFERROR(INDEX('03_Ho_So_Nhan_Vien'!$E:$E,MATCH(B24,'03_Ho_So_Nhan_Vien'!$C:$C,0)),"Không tìm thấy Mã NV"))</f>
        <v>Trần Nguyễn Văn Mạnh</v>
      </c>
      <c r="D24" s="85">
        <f t="array" ref="D24">IF(B24="","",IFERROR(INDEX('02_DS_Nhan_Viec'!$E:$E,MATCH(B24,'02_DS_Nhan_Viec'!$J:$J,0)),""))</f>
        <v>46270</v>
      </c>
      <c r="E24" s="86"/>
      <c r="F24" s="86"/>
      <c r="G24" s="86"/>
      <c r="H24" s="86"/>
      <c r="I24" s="86"/>
      <c r="J24" s="86"/>
      <c r="K24" s="86"/>
      <c r="L24" s="84">
        <f t="shared" si="1"/>
      </c>
      <c r="M24" s="84" t="str">
        <f t="shared" si="7"/>
        <v>⏳ Đang theo dõi (0/7 ngày đã nhập)</v>
      </c>
      <c r="N24" s="86"/>
      <c r="O24" s="84">
        <f t="shared" si="3"/>
      </c>
      <c r="P24" s="73">
        <f t="shared" si="4"/>
        <v>46277</v>
      </c>
      <c r="Q24" s="52" t="str">
        <f t="shared" si="8"/>
        <v>⏳ Chưa đủ 7 ngày (0/7)</v>
      </c>
      <c r="R24" s="56"/>
      <c r="S24" s="61" t="str">
        <f t="array" ref="S24">IF($B24="","",IF($R24&lt;&gt;"",IFERROR(INDEX('06_DS_Chinh_Thuc'!$K:$K,MATCH($R24,'06_DS_Chinh_Thuc'!$B:$B,0)),"Đang theo dõi"),"Đang theo dõi"))</f>
        <v>Đang theo dõi</v>
      </c>
      <c r="T24" s="83"/>
      <c r="U24" s="83"/>
      <c r="V24" s="83"/>
      <c r="W24" s="83"/>
      <c r="X24" s="83"/>
      <c r="Y24" s="83"/>
      <c r="Z24" s="83"/>
    </row>
    <row r="25" ht="14.25" customHeight="1" spans="1:26" x14ac:dyDescent="0.25">
      <c r="A25" s="84">
        <f t="shared" si="0"/>
        <v>24</v>
      </c>
      <c r="B25" s="84" t="s">
        <v>596</v>
      </c>
      <c r="C25" s="84" t="str">
        <f t="array" ref="C25">IF(B25="","",IFERROR(INDEX('03_Ho_So_Nhan_Vien'!$E:$E,MATCH(B25,'03_Ho_So_Nhan_Vien'!$C:$C,0)),"Không tìm thấy Mã NV"))</f>
        <v>Không tìm thấy Mã NV</v>
      </c>
      <c r="D25" s="85">
        <f t="array" ref="D25">IF(B25="","",IFERROR(INDEX('02_DS_Nhan_Viec'!$E:$E,MATCH(B25,'02_DS_Nhan_Viec'!$J:$J,0)),""))</f>
      </c>
      <c r="E25" s="86"/>
      <c r="F25" s="86"/>
      <c r="G25" s="86"/>
      <c r="H25" s="86"/>
      <c r="I25" s="86"/>
      <c r="J25" s="86"/>
      <c r="K25" s="86"/>
      <c r="L25" s="84">
        <f t="shared" si="1"/>
      </c>
      <c r="M25" s="84" t="str">
        <f t="shared" si="7"/>
        <v>⏳ Đang theo dõi (0/7 ngày đã nhập)</v>
      </c>
      <c r="N25" s="86"/>
      <c r="O25" s="84">
        <f t="shared" si="3"/>
      </c>
      <c r="P25" s="73">
        <f t="shared" si="4"/>
      </c>
      <c r="Q25" s="52" t="str">
        <f t="shared" si="8"/>
        <v>⏳ Chưa đủ 7 ngày (0/7)</v>
      </c>
      <c r="R25" s="56"/>
      <c r="S25" s="61" t="str">
        <f t="array" ref="S25">IF($B25="","",IF($R25&lt;&gt;"",IFERROR(INDEX('06_DS_Chinh_Thuc'!$K:$K,MATCH($R25,'06_DS_Chinh_Thuc'!$B:$B,0)),"Đang theo dõi"),"Đang theo dõi"))</f>
        <v>Đang theo dõi</v>
      </c>
      <c r="T25" s="83"/>
      <c r="U25" s="83"/>
      <c r="V25" s="83"/>
      <c r="W25" s="83"/>
      <c r="X25" s="83"/>
      <c r="Y25" s="83"/>
      <c r="Z25" s="83"/>
    </row>
    <row r="26" ht="14.25" customHeight="1" spans="1:26" x14ac:dyDescent="0.25">
      <c r="A26" s="84">
        <f t="shared" si="0"/>
        <v>25</v>
      </c>
      <c r="B26" s="84" t="s">
        <v>597</v>
      </c>
      <c r="C26" s="84" t="str">
        <f t="array" ref="C26">IF(B26="","",IFERROR(INDEX('03_Ho_So_Nhan_Vien'!$E:$E,MATCH(B26,'03_Ho_So_Nhan_Vien'!$C:$C,0)),"Không tìm thấy Mã NV"))</f>
        <v>Không tìm thấy Mã NV</v>
      </c>
      <c r="D26" s="85">
        <f t="array" ref="D26">IF(B26="","",IFERROR(INDEX('02_DS_Nhan_Viec'!$E:$E,MATCH(B26,'02_DS_Nhan_Viec'!$J:$J,0)),""))</f>
      </c>
      <c r="E26" s="86"/>
      <c r="F26" s="86"/>
      <c r="G26" s="86"/>
      <c r="H26" s="86"/>
      <c r="I26" s="86"/>
      <c r="J26" s="86"/>
      <c r="K26" s="86"/>
      <c r="L26" s="84">
        <f t="shared" si="1"/>
      </c>
      <c r="M26" s="84" t="str">
        <f t="shared" si="7"/>
        <v>⏳ Đang theo dõi (0/7 ngày đã nhập)</v>
      </c>
      <c r="N26" s="86"/>
      <c r="O26" s="84">
        <f t="shared" si="3"/>
      </c>
      <c r="P26" s="73">
        <f t="shared" si="4"/>
      </c>
      <c r="Q26" s="52" t="str">
        <f t="shared" si="8"/>
        <v>⏳ Chưa đủ 7 ngày (0/7)</v>
      </c>
      <c r="R26" s="56"/>
      <c r="S26" s="61" t="str">
        <f t="array" ref="S26">IF($B26="","",IF($R26&lt;&gt;"",IFERROR(INDEX('06_DS_Chinh_Thuc'!$K:$K,MATCH($R26,'06_DS_Chinh_Thuc'!$B:$B,0)),"Đang theo dõi"),"Đang theo dõi"))</f>
        <v>Đang theo dõi</v>
      </c>
      <c r="T26" s="83"/>
      <c r="U26" s="83"/>
      <c r="V26" s="83"/>
      <c r="W26" s="83"/>
      <c r="X26" s="83"/>
      <c r="Y26" s="83"/>
      <c r="Z26" s="83"/>
    </row>
    <row r="27" ht="14.25" customHeight="1" spans="1:26" x14ac:dyDescent="0.25">
      <c r="A27" s="84">
        <f t="shared" si="0"/>
        <v>26</v>
      </c>
      <c r="B27" s="84" t="s">
        <v>598</v>
      </c>
      <c r="C27" s="84" t="str">
        <f t="array" ref="C27">IF(B27="","",IFERROR(INDEX('03_Ho_So_Nhan_Vien'!$E:$E,MATCH(B27,'03_Ho_So_Nhan_Vien'!$C:$C,0)),"Không tìm thấy Mã NV"))</f>
        <v>Không tìm thấy Mã NV</v>
      </c>
      <c r="D27" s="85">
        <f t="array" ref="D27">IF(B27="","",IFERROR(INDEX('02_DS_Nhan_Viec'!$E:$E,MATCH(B27,'02_DS_Nhan_Viec'!$J:$J,0)),""))</f>
      </c>
      <c r="E27" s="86"/>
      <c r="F27" s="86"/>
      <c r="G27" s="86"/>
      <c r="H27" s="86"/>
      <c r="I27" s="86"/>
      <c r="J27" s="86"/>
      <c r="K27" s="86"/>
      <c r="L27" s="84">
        <f t="shared" si="1"/>
      </c>
      <c r="M27" s="84" t="str">
        <f t="shared" si="7"/>
        <v>⏳ Đang theo dõi (0/7 ngày đã nhập)</v>
      </c>
      <c r="N27" s="86"/>
      <c r="O27" s="84">
        <f t="shared" si="3"/>
      </c>
      <c r="P27" s="73">
        <f t="shared" si="4"/>
      </c>
      <c r="Q27" s="52" t="str">
        <f t="shared" si="8"/>
        <v>⏳ Chưa đủ 7 ngày (0/7)</v>
      </c>
      <c r="R27" s="56"/>
      <c r="S27" s="61" t="str">
        <f t="array" ref="S27">IF($B27="","",IF($R27&lt;&gt;"",IFERROR(INDEX('06_DS_Chinh_Thuc'!$K:$K,MATCH($R27,'06_DS_Chinh_Thuc'!$B:$B,0)),"Đang theo dõi"),"Đang theo dõi"))</f>
        <v>Đang theo dõi</v>
      </c>
      <c r="T27" s="83"/>
      <c r="U27" s="83"/>
      <c r="V27" s="83"/>
      <c r="W27" s="83"/>
      <c r="X27" s="83"/>
      <c r="Y27" s="83"/>
      <c r="Z27" s="83"/>
    </row>
    <row r="28" ht="14.25" customHeight="1" spans="1:26" x14ac:dyDescent="0.25">
      <c r="A28" s="84">
        <f t="shared" si="0"/>
        <v>27</v>
      </c>
      <c r="B28" s="84" t="s">
        <v>599</v>
      </c>
      <c r="C28" s="84" t="str">
        <f t="array" ref="C28">IF(B28="","",IFERROR(INDEX('03_Ho_So_Nhan_Vien'!$E:$E,MATCH(B28,'03_Ho_So_Nhan_Vien'!$C:$C,0)),"Không tìm thấy Mã NV"))</f>
        <v>Không tìm thấy Mã NV</v>
      </c>
      <c r="D28" s="85">
        <f t="array" ref="D28">IF(B28="","",IFERROR(INDEX('02_DS_Nhan_Viec'!$E:$E,MATCH(B28,'02_DS_Nhan_Viec'!$J:$J,0)),""))</f>
      </c>
      <c r="E28" s="86"/>
      <c r="F28" s="86"/>
      <c r="G28" s="86"/>
      <c r="H28" s="86"/>
      <c r="I28" s="86"/>
      <c r="J28" s="86"/>
      <c r="K28" s="86"/>
      <c r="L28" s="84">
        <f t="shared" si="1"/>
      </c>
      <c r="M28" s="84" t="str">
        <f t="shared" si="7"/>
        <v>⏳ Đang theo dõi (0/7 ngày đã nhập)</v>
      </c>
      <c r="N28" s="86"/>
      <c r="O28" s="84">
        <f t="shared" si="3"/>
      </c>
      <c r="P28" s="73">
        <f t="shared" si="4"/>
      </c>
      <c r="Q28" s="52" t="str">
        <f t="shared" si="8"/>
        <v>⏳ Chưa đủ 7 ngày (0/7)</v>
      </c>
      <c r="R28" s="56"/>
      <c r="S28" s="61" t="str">
        <f t="array" ref="S28">IF($B28="","",IF($R28&lt;&gt;"",IFERROR(INDEX('06_DS_Chinh_Thuc'!$K:$K,MATCH($R28,'06_DS_Chinh_Thuc'!$B:$B,0)),"Đang theo dõi"),"Đang theo dõi"))</f>
        <v>Đang theo dõi</v>
      </c>
      <c r="T28" s="83"/>
      <c r="U28" s="83"/>
      <c r="V28" s="83"/>
      <c r="W28" s="83"/>
      <c r="X28" s="83"/>
      <c r="Y28" s="83"/>
      <c r="Z28" s="83"/>
    </row>
    <row r="29" ht="14.25" customHeight="1" spans="1:26" x14ac:dyDescent="0.25">
      <c r="A29" s="84">
        <f t="shared" si="0"/>
        <v>28</v>
      </c>
      <c r="B29" s="84" t="s">
        <v>600</v>
      </c>
      <c r="C29" s="84" t="str">
        <f t="array" ref="C29">IF(B29="","",IFERROR(INDEX('03_Ho_So_Nhan_Vien'!$E:$E,MATCH(B29,'03_Ho_So_Nhan_Vien'!$C:$C,0)),"Không tìm thấy Mã NV"))</f>
        <v>Không tìm thấy Mã NV</v>
      </c>
      <c r="D29" s="85">
        <f t="array" ref="D29">IF(B29="","",IFERROR(INDEX('02_DS_Nhan_Viec'!$E:$E,MATCH(B29,'02_DS_Nhan_Viec'!$J:$J,0)),""))</f>
      </c>
      <c r="E29" s="86"/>
      <c r="F29" s="86"/>
      <c r="G29" s="86"/>
      <c r="H29" s="86"/>
      <c r="I29" s="86"/>
      <c r="J29" s="86"/>
      <c r="K29" s="86"/>
      <c r="L29" s="84">
        <f t="shared" si="1"/>
      </c>
      <c r="M29" s="84" t="str">
        <f t="shared" si="7"/>
        <v>⏳ Đang theo dõi (0/7 ngày đã nhập)</v>
      </c>
      <c r="N29" s="86"/>
      <c r="O29" s="84">
        <f t="shared" si="3"/>
      </c>
      <c r="P29" s="73">
        <f t="shared" si="4"/>
      </c>
      <c r="Q29" s="52" t="str">
        <f t="shared" si="8"/>
        <v>⏳ Chưa đủ 7 ngày (0/7)</v>
      </c>
      <c r="R29" s="56"/>
      <c r="S29" s="61" t="str">
        <f t="array" ref="S29">IF($B29="","",IF($R29&lt;&gt;"",IFERROR(INDEX('06_DS_Chinh_Thuc'!$K:$K,MATCH($R29,'06_DS_Chinh_Thuc'!$B:$B,0)),"Đang theo dõi"),"Đang theo dõi"))</f>
        <v>Đang theo dõi</v>
      </c>
      <c r="T29" s="83"/>
      <c r="U29" s="83"/>
      <c r="V29" s="83"/>
      <c r="W29" s="83"/>
      <c r="X29" s="83"/>
      <c r="Y29" s="83"/>
      <c r="Z29" s="83"/>
    </row>
    <row r="30" ht="14.25" customHeight="1" spans="1:26" x14ac:dyDescent="0.25">
      <c r="A30" s="84">
        <f t="shared" si="0"/>
        <v>29</v>
      </c>
      <c r="B30" s="84" t="s">
        <v>601</v>
      </c>
      <c r="C30" s="84" t="str">
        <f t="array" ref="C30">IF(B30="","",IFERROR(INDEX('03_Ho_So_Nhan_Vien'!$E:$E,MATCH(B30,'03_Ho_So_Nhan_Vien'!$C:$C,0)),"Không tìm thấy Mã NV"))</f>
        <v>Không tìm thấy Mã NV</v>
      </c>
      <c r="D30" s="85">
        <f t="array" ref="D30">IF(B30="","",IFERROR(INDEX('02_DS_Nhan_Viec'!$E:$E,MATCH(B30,'02_DS_Nhan_Viec'!$J:$J,0)),""))</f>
      </c>
      <c r="E30" s="86"/>
      <c r="F30" s="86"/>
      <c r="G30" s="86"/>
      <c r="H30" s="86"/>
      <c r="I30" s="86"/>
      <c r="J30" s="86"/>
      <c r="K30" s="86"/>
      <c r="L30" s="84">
        <f t="shared" si="1"/>
      </c>
      <c r="M30" s="84" t="str">
        <f t="shared" si="7"/>
        <v>⏳ Đang theo dõi (0/7 ngày đã nhập)</v>
      </c>
      <c r="N30" s="86"/>
      <c r="O30" s="84">
        <f t="shared" si="3"/>
      </c>
      <c r="P30" s="73">
        <f t="shared" si="4"/>
      </c>
      <c r="Q30" s="52" t="str">
        <f t="shared" si="8"/>
        <v>⏳ Chưa đủ 7 ngày (0/7)</v>
      </c>
      <c r="R30" s="56"/>
      <c r="S30" s="61" t="str">
        <f t="array" ref="S30">IF($B30="","",IF($R30&lt;&gt;"",IFERROR(INDEX('06_DS_Chinh_Thuc'!$K:$K,MATCH($R30,'06_DS_Chinh_Thuc'!$B:$B,0)),"Đang theo dõi"),"Đang theo dõi"))</f>
        <v>Đang theo dõi</v>
      </c>
      <c r="T30" s="83"/>
      <c r="U30" s="83"/>
      <c r="V30" s="83"/>
      <c r="W30" s="83"/>
      <c r="X30" s="83"/>
      <c r="Y30" s="83"/>
      <c r="Z30" s="83"/>
    </row>
    <row r="31" ht="14.25" customHeight="1" spans="1:26" x14ac:dyDescent="0.25">
      <c r="A31" s="84">
        <f t="shared" si="0"/>
        <v>30</v>
      </c>
      <c r="B31" s="84" t="s">
        <v>602</v>
      </c>
      <c r="C31" s="84" t="str">
        <f t="array" ref="C31">IF(B31="","",IFERROR(INDEX('03_Ho_So_Nhan_Vien'!$E:$E,MATCH(B31,'03_Ho_So_Nhan_Vien'!$C:$C,0)),"Không tìm thấy Mã NV"))</f>
        <v>Không tìm thấy Mã NV</v>
      </c>
      <c r="D31" s="85">
        <f t="array" ref="D31">IF(B31="","",IFERROR(INDEX('02_DS_Nhan_Viec'!$E:$E,MATCH(B31,'02_DS_Nhan_Viec'!$J:$J,0)),""))</f>
      </c>
      <c r="E31" s="86"/>
      <c r="F31" s="86"/>
      <c r="G31" s="86"/>
      <c r="H31" s="86"/>
      <c r="I31" s="86"/>
      <c r="J31" s="86"/>
      <c r="K31" s="86"/>
      <c r="L31" s="84">
        <f t="shared" si="1"/>
      </c>
      <c r="M31" s="84" t="str">
        <f t="shared" si="7"/>
        <v>⏳ Đang theo dõi (0/7 ngày đã nhập)</v>
      </c>
      <c r="N31" s="86"/>
      <c r="O31" s="84">
        <f t="shared" si="3"/>
      </c>
      <c r="P31" s="73">
        <f t="shared" si="4"/>
      </c>
      <c r="Q31" s="52" t="str">
        <f t="shared" si="8"/>
        <v>⏳ Chưa đủ 7 ngày (0/7)</v>
      </c>
      <c r="R31" s="56"/>
      <c r="S31" s="61" t="str">
        <f t="array" ref="S31">IF($B31="","",IF($R31&lt;&gt;"",IFERROR(INDEX('06_DS_Chinh_Thuc'!$K:$K,MATCH($R31,'06_DS_Chinh_Thuc'!$B:$B,0)),"Đang theo dõi"),"Đang theo dõi"))</f>
        <v>Đang theo dõi</v>
      </c>
      <c r="T31" s="83"/>
      <c r="U31" s="83"/>
      <c r="V31" s="83"/>
      <c r="W31" s="83"/>
      <c r="X31" s="83"/>
      <c r="Y31" s="83"/>
      <c r="Z31" s="83"/>
    </row>
    <row r="32" ht="14.25" customHeight="1" spans="1:26" x14ac:dyDescent="0.25">
      <c r="A32" s="84">
        <f t="shared" si="0"/>
        <v>31</v>
      </c>
      <c r="B32" s="84" t="s">
        <v>603</v>
      </c>
      <c r="C32" s="84" t="str">
        <f t="array" ref="C32">IF(B32="","",IFERROR(INDEX('03_Ho_So_Nhan_Vien'!$E:$E,MATCH(B32,'03_Ho_So_Nhan_Vien'!$C:$C,0)),"Không tìm thấy Mã NV"))</f>
        <v>Không tìm thấy Mã NV</v>
      </c>
      <c r="D32" s="85">
        <f t="array" ref="D32">IF(B32="","",IFERROR(INDEX('02_DS_Nhan_Viec'!$E:$E,MATCH(B32,'02_DS_Nhan_Viec'!$J:$J,0)),""))</f>
      </c>
      <c r="E32" s="86"/>
      <c r="F32" s="86"/>
      <c r="G32" s="86"/>
      <c r="H32" s="86"/>
      <c r="I32" s="86"/>
      <c r="J32" s="86"/>
      <c r="K32" s="86"/>
      <c r="L32" s="84">
        <f t="shared" si="1"/>
      </c>
      <c r="M32" s="84" t="str">
        <f t="shared" si="7"/>
        <v>⏳ Đang theo dõi (0/7 ngày đã nhập)</v>
      </c>
      <c r="N32" s="86"/>
      <c r="O32" s="84">
        <f t="shared" si="3"/>
      </c>
      <c r="P32" s="73">
        <f t="shared" si="4"/>
      </c>
      <c r="Q32" s="52" t="str">
        <f t="shared" si="8"/>
        <v>⏳ Chưa đủ 7 ngày (0/7)</v>
      </c>
      <c r="R32" s="56"/>
      <c r="S32" s="61" t="str">
        <f t="array" ref="S32">IF($B32="","",IF($R32&lt;&gt;"",IFERROR(INDEX('06_DS_Chinh_Thuc'!$K:$K,MATCH($R32,'06_DS_Chinh_Thuc'!$B:$B,0)),"Đang theo dõi"),"Đang theo dõi"))</f>
        <v>Đang theo dõi</v>
      </c>
      <c r="T32" s="83"/>
      <c r="U32" s="83"/>
      <c r="V32" s="83"/>
      <c r="W32" s="83"/>
      <c r="X32" s="83"/>
      <c r="Y32" s="83"/>
      <c r="Z32" s="83"/>
    </row>
    <row r="33" ht="14.25" customHeight="1" spans="1:26" x14ac:dyDescent="0.25">
      <c r="A33" s="84">
        <f t="shared" si="0"/>
        <v>32</v>
      </c>
      <c r="B33" s="84" t="s">
        <v>604</v>
      </c>
      <c r="C33" s="84" t="str">
        <f t="array" ref="C33">IF(B33="","",IFERROR(INDEX('03_Ho_So_Nhan_Vien'!$E:$E,MATCH(B33,'03_Ho_So_Nhan_Vien'!$C:$C,0)),"Không tìm thấy Mã NV"))</f>
        <v>Không tìm thấy Mã NV</v>
      </c>
      <c r="D33" s="85">
        <f t="array" ref="D33">IF(B33="","",IFERROR(INDEX('02_DS_Nhan_Viec'!$E:$E,MATCH(B33,'02_DS_Nhan_Viec'!$J:$J,0)),""))</f>
      </c>
      <c r="E33" s="86"/>
      <c r="F33" s="86"/>
      <c r="G33" s="86"/>
      <c r="H33" s="86"/>
      <c r="I33" s="86"/>
      <c r="J33" s="86"/>
      <c r="K33" s="86"/>
      <c r="L33" s="84">
        <f t="shared" si="1"/>
      </c>
      <c r="M33" s="84" t="str">
        <f t="shared" si="7"/>
        <v>⏳ Đang theo dõi (0/7 ngày đã nhập)</v>
      </c>
      <c r="N33" s="86"/>
      <c r="O33" s="84">
        <f t="shared" si="3"/>
      </c>
      <c r="P33" s="73">
        <f t="shared" si="4"/>
      </c>
      <c r="Q33" s="52" t="str">
        <f t="shared" si="8"/>
        <v>⏳ Chưa đủ 7 ngày (0/7)</v>
      </c>
      <c r="R33" s="56"/>
      <c r="S33" s="61" t="str">
        <f t="array" ref="S33">IF($B33="","",IF($R33&lt;&gt;"",IFERROR(INDEX('06_DS_Chinh_Thuc'!$K:$K,MATCH($R33,'06_DS_Chinh_Thuc'!$B:$B,0)),"Đang theo dõi"),"Đang theo dõi"))</f>
        <v>Đang theo dõi</v>
      </c>
      <c r="T33" s="83"/>
      <c r="U33" s="83"/>
      <c r="V33" s="83"/>
      <c r="W33" s="83"/>
      <c r="X33" s="83"/>
      <c r="Y33" s="83"/>
      <c r="Z33" s="83"/>
    </row>
    <row r="34" ht="14.25" customHeight="1" spans="1:26" x14ac:dyDescent="0.25">
      <c r="A34" s="84">
        <f t="shared" si="0"/>
        <v>33</v>
      </c>
      <c r="B34" s="84" t="s">
        <v>605</v>
      </c>
      <c r="C34" s="84" t="str">
        <f t="array" ref="C34">IF(B34="","",IFERROR(INDEX('03_Ho_So_Nhan_Vien'!$E:$E,MATCH(B34,'03_Ho_So_Nhan_Vien'!$C:$C,0)),"Không tìm thấy Mã NV"))</f>
        <v>Không tìm thấy Mã NV</v>
      </c>
      <c r="D34" s="85">
        <f t="array" ref="D34">IF(B34="","",IFERROR(INDEX('02_DS_Nhan_Viec'!$E:$E,MATCH(B34,'02_DS_Nhan_Viec'!$J:$J,0)),""))</f>
      </c>
      <c r="E34" s="86"/>
      <c r="F34" s="86"/>
      <c r="G34" s="86"/>
      <c r="H34" s="86"/>
      <c r="I34" s="86"/>
      <c r="J34" s="86"/>
      <c r="K34" s="86"/>
      <c r="L34" s="84">
        <f t="shared" si="1"/>
      </c>
      <c r="M34" s="84" t="str">
        <f t="shared" si="7"/>
        <v>⏳ Đang theo dõi (0/7 ngày đã nhập)</v>
      </c>
      <c r="N34" s="86"/>
      <c r="O34" s="84">
        <f t="shared" si="3"/>
      </c>
      <c r="P34" s="73">
        <f t="shared" si="4"/>
      </c>
      <c r="Q34" s="52" t="str">
        <f t="shared" si="8"/>
        <v>⏳ Chưa đủ 7 ngày (0/7)</v>
      </c>
      <c r="R34" s="56"/>
      <c r="S34" s="61" t="str">
        <f t="array" ref="S34">IF($B34="","",IF($R34&lt;&gt;"",IFERROR(INDEX('06_DS_Chinh_Thuc'!$K:$K,MATCH($R34,'06_DS_Chinh_Thuc'!$B:$B,0)),"Đang theo dõi"),"Đang theo dõi"))</f>
        <v>Đang theo dõi</v>
      </c>
      <c r="T34" s="83"/>
      <c r="U34" s="83"/>
      <c r="V34" s="83"/>
      <c r="W34" s="83"/>
      <c r="X34" s="83"/>
      <c r="Y34" s="83"/>
      <c r="Z34" s="83"/>
    </row>
    <row r="35" ht="14.25" customHeight="1" spans="1:26" x14ac:dyDescent="0.25">
      <c r="A35" s="84">
        <f t="shared" si="0"/>
        <v>34</v>
      </c>
      <c r="B35" s="84" t="s">
        <v>606</v>
      </c>
      <c r="C35" s="84" t="str">
        <f t="array" ref="C35">IF(B35="","",IFERROR(INDEX('03_Ho_So_Nhan_Vien'!$E:$E,MATCH(B35,'03_Ho_So_Nhan_Vien'!$C:$C,0)),"Không tìm thấy Mã NV"))</f>
        <v>Không tìm thấy Mã NV</v>
      </c>
      <c r="D35" s="85">
        <f t="array" ref="D35">IF(B35="","",IFERROR(INDEX('02_DS_Nhan_Viec'!$E:$E,MATCH(B35,'02_DS_Nhan_Viec'!$J:$J,0)),""))</f>
      </c>
      <c r="E35" s="86"/>
      <c r="F35" s="86"/>
      <c r="G35" s="86"/>
      <c r="H35" s="86"/>
      <c r="I35" s="86"/>
      <c r="J35" s="86"/>
      <c r="K35" s="86"/>
      <c r="L35" s="84">
        <f t="shared" si="1"/>
      </c>
      <c r="M35" s="84" t="str">
        <f t="shared" si="7"/>
        <v>⏳ Đang theo dõi (0/7 ngày đã nhập)</v>
      </c>
      <c r="N35" s="86"/>
      <c r="O35" s="84">
        <f t="shared" si="3"/>
      </c>
      <c r="P35" s="73">
        <f t="shared" si="4"/>
      </c>
      <c r="Q35" s="52" t="str">
        <f t="shared" si="8"/>
        <v>⏳ Chưa đủ 7 ngày (0/7)</v>
      </c>
      <c r="R35" s="56"/>
      <c r="S35" s="61" t="str">
        <f t="array" ref="S35">IF($B35="","",IF($R35&lt;&gt;"",IFERROR(INDEX('06_DS_Chinh_Thuc'!$K:$K,MATCH($R35,'06_DS_Chinh_Thuc'!$B:$B,0)),"Đang theo dõi"),"Đang theo dõi"))</f>
        <v>Đang theo dõi</v>
      </c>
      <c r="T35" s="83"/>
      <c r="U35" s="83"/>
      <c r="V35" s="83"/>
      <c r="W35" s="83"/>
      <c r="X35" s="83"/>
      <c r="Y35" s="83"/>
      <c r="Z35" s="83"/>
    </row>
    <row r="36" ht="14.25" customHeight="1" spans="1:26" x14ac:dyDescent="0.25">
      <c r="A36" s="84">
        <f t="shared" si="0"/>
        <v>35</v>
      </c>
      <c r="B36" s="84" t="s">
        <v>607</v>
      </c>
      <c r="C36" s="84" t="str">
        <f t="array" ref="C36">IF(B36="","",IFERROR(INDEX('03_Ho_So_Nhan_Vien'!$E:$E,MATCH(B36,'03_Ho_So_Nhan_Vien'!$C:$C,0)),"Không tìm thấy Mã NV"))</f>
        <v>Không tìm thấy Mã NV</v>
      </c>
      <c r="D36" s="85">
        <f t="array" ref="D36">IF(B36="","",IFERROR(INDEX('02_DS_Nhan_Viec'!$E:$E,MATCH(B36,'02_DS_Nhan_Viec'!$J:$J,0)),""))</f>
      </c>
      <c r="E36" s="86"/>
      <c r="F36" s="86"/>
      <c r="G36" s="86"/>
      <c r="H36" s="86"/>
      <c r="I36" s="86"/>
      <c r="J36" s="86"/>
      <c r="K36" s="86"/>
      <c r="L36" s="84">
        <f t="shared" si="1"/>
      </c>
      <c r="M36" s="84" t="str">
        <f t="shared" si="7"/>
        <v>⏳ Đang theo dõi (0/7 ngày đã nhập)</v>
      </c>
      <c r="N36" s="86"/>
      <c r="O36" s="84">
        <f t="shared" si="3"/>
      </c>
      <c r="P36" s="73">
        <f t="shared" si="4"/>
      </c>
      <c r="Q36" s="52" t="str">
        <f t="shared" si="8"/>
        <v>⏳ Chưa đủ 7 ngày (0/7)</v>
      </c>
      <c r="R36" s="56"/>
      <c r="S36" s="61" t="str">
        <f t="array" ref="S36">IF($B36="","",IF($R36&lt;&gt;"",IFERROR(INDEX('06_DS_Chinh_Thuc'!$K:$K,MATCH($R36,'06_DS_Chinh_Thuc'!$B:$B,0)),"Đang theo dõi"),"Đang theo dõi"))</f>
        <v>Đang theo dõi</v>
      </c>
      <c r="T36" s="83"/>
      <c r="U36" s="83"/>
      <c r="V36" s="83"/>
      <c r="W36" s="83"/>
      <c r="X36" s="83"/>
      <c r="Y36" s="83"/>
      <c r="Z36" s="83"/>
    </row>
    <row r="37" ht="14.25" customHeight="1" spans="1:26" x14ac:dyDescent="0.25">
      <c r="A37" s="84">
        <f t="shared" si="0"/>
        <v>36</v>
      </c>
      <c r="B37" s="84" t="s">
        <v>608</v>
      </c>
      <c r="C37" s="84" t="str">
        <f t="array" ref="C37">IF(B37="","",IFERROR(INDEX('03_Ho_So_Nhan_Vien'!$E:$E,MATCH(B37,'03_Ho_So_Nhan_Vien'!$C:$C,0)),"Không tìm thấy Mã NV"))</f>
        <v>Không tìm thấy Mã NV</v>
      </c>
      <c r="D37" s="85">
        <f t="array" ref="D37">IF(B37="","",IFERROR(INDEX('02_DS_Nhan_Viec'!$E:$E,MATCH(B37,'02_DS_Nhan_Viec'!$J:$J,0)),""))</f>
      </c>
      <c r="E37" s="86"/>
      <c r="F37" s="86"/>
      <c r="G37" s="86"/>
      <c r="H37" s="86"/>
      <c r="I37" s="86"/>
      <c r="J37" s="86"/>
      <c r="K37" s="86"/>
      <c r="L37" s="84">
        <f t="shared" si="1"/>
      </c>
      <c r="M37" s="84" t="str">
        <f t="shared" si="7"/>
        <v>⏳ Đang theo dõi (0/7 ngày đã nhập)</v>
      </c>
      <c r="N37" s="86"/>
      <c r="O37" s="84">
        <f t="shared" si="3"/>
      </c>
      <c r="P37" s="73">
        <f t="shared" si="4"/>
      </c>
      <c r="Q37" s="52" t="str">
        <f t="shared" si="8"/>
        <v>⏳ Chưa đủ 7 ngày (0/7)</v>
      </c>
      <c r="R37" s="56"/>
      <c r="S37" s="61" t="str">
        <f t="array" ref="S37">IF($B37="","",IF($R37&lt;&gt;"",IFERROR(INDEX('06_DS_Chinh_Thuc'!$K:$K,MATCH($R37,'06_DS_Chinh_Thuc'!$B:$B,0)),"Đang theo dõi"),"Đang theo dõi"))</f>
        <v>Đang theo dõi</v>
      </c>
      <c r="T37" s="83"/>
      <c r="U37" s="83"/>
      <c r="V37" s="83"/>
      <c r="W37" s="83"/>
      <c r="X37" s="83"/>
      <c r="Y37" s="83"/>
      <c r="Z37" s="83"/>
    </row>
    <row r="38" ht="14.25" customHeight="1" spans="1:26" x14ac:dyDescent="0.25">
      <c r="A38" s="84">
        <f t="shared" si="0"/>
      </c>
      <c r="B38" s="86"/>
      <c r="C38" s="84">
        <f t="array" ref="C38">IF(B38="","",IFERROR(INDEX('03_Ho_So_Nhan_Vien'!$E:$E,MATCH(B38,'03_Ho_So_Nhan_Vien'!$C:$C,0)),"Không tìm thấy Mã NV"))</f>
      </c>
      <c r="D38" s="85">
        <f t="array" ref="D38">IF(B38="","",IFERROR(INDEX('02_DS_Nhan_Viec'!$E:$E,MATCH(B38,'02_DS_Nhan_Viec'!$J:$J,0)),""))</f>
      </c>
      <c r="E38" s="86"/>
      <c r="F38" s="86"/>
      <c r="G38" s="86"/>
      <c r="H38" s="86"/>
      <c r="I38" s="86"/>
      <c r="J38" s="86"/>
      <c r="K38" s="86"/>
      <c r="L38" s="84">
        <f t="shared" si="1"/>
      </c>
      <c r="M38" s="84">
        <f t="shared" si="7"/>
      </c>
      <c r="N38" s="86"/>
      <c r="O38" s="84">
        <f t="shared" si="3"/>
      </c>
      <c r="P38" s="73">
        <f t="shared" si="4"/>
      </c>
      <c r="Q38" s="52">
        <f t="shared" si="8"/>
      </c>
      <c r="R38" s="56"/>
      <c r="S38" s="61">
        <f t="array" ref="S38">IF($B38="","",IF($R38&lt;&gt;"",IFERROR(INDEX('06_DS_Chinh_Thuc'!$K:$K,MATCH($R38,'06_DS_Chinh_Thuc'!$B:$B,0)),"Đang theo dõi"),"Đang theo dõi"))</f>
      </c>
      <c r="T38" s="83"/>
      <c r="U38" s="83"/>
      <c r="V38" s="83"/>
      <c r="W38" s="83"/>
      <c r="X38" s="83"/>
      <c r="Y38" s="83"/>
      <c r="Z38" s="83"/>
    </row>
    <row r="39" ht="14.25" customHeight="1" spans="1:26" x14ac:dyDescent="0.25">
      <c r="A39" s="84">
        <f t="shared" si="0"/>
      </c>
      <c r="B39" s="86"/>
      <c r="C39" s="84">
        <f t="array" ref="C39">IF(B39="","",IFERROR(INDEX('03_Ho_So_Nhan_Vien'!$E:$E,MATCH(B39,'03_Ho_So_Nhan_Vien'!$C:$C,0)),"Không tìm thấy Mã NV"))</f>
      </c>
      <c r="D39" s="85">
        <f t="array" ref="D39">IF(B39="","",IFERROR(INDEX('02_DS_Nhan_Viec'!$E:$E,MATCH(B39,'02_DS_Nhan_Viec'!$J:$J,0)),""))</f>
      </c>
      <c r="E39" s="86"/>
      <c r="F39" s="86"/>
      <c r="G39" s="86"/>
      <c r="H39" s="86"/>
      <c r="I39" s="86"/>
      <c r="J39" s="86"/>
      <c r="K39" s="86"/>
      <c r="L39" s="84">
        <f t="shared" si="1"/>
      </c>
      <c r="M39" s="84">
        <f t="shared" si="7"/>
      </c>
      <c r="N39" s="86"/>
      <c r="O39" s="84">
        <f t="shared" si="3"/>
      </c>
      <c r="P39" s="73">
        <f t="shared" si="4"/>
      </c>
      <c r="Q39" s="52">
        <f t="shared" si="8"/>
      </c>
      <c r="R39" s="56"/>
      <c r="S39" s="61">
        <f t="array" ref="S39">IF($B39="","",IF($R39&lt;&gt;"",IFERROR(INDEX('06_DS_Chinh_Thuc'!$K:$K,MATCH($R39,'06_DS_Chinh_Thuc'!$B:$B,0)),"Đang theo dõi"),"Đang theo dõi"))</f>
      </c>
      <c r="T39" s="83"/>
      <c r="U39" s="83"/>
      <c r="V39" s="83"/>
      <c r="W39" s="83"/>
      <c r="X39" s="83"/>
      <c r="Y39" s="83"/>
      <c r="Z39" s="83"/>
    </row>
    <row r="40" ht="14.25" customHeight="1" spans="1:26" x14ac:dyDescent="0.25">
      <c r="A40" s="84">
        <f t="shared" si="0"/>
      </c>
      <c r="B40" s="86"/>
      <c r="C40" s="84">
        <f t="array" ref="C40">IF(B40="","",IFERROR(INDEX('03_Ho_So_Nhan_Vien'!$E:$E,MATCH(B40,'03_Ho_So_Nhan_Vien'!$C:$C,0)),"Không tìm thấy Mã NV"))</f>
      </c>
      <c r="D40" s="85">
        <f t="array" ref="D40">IF(B40="","",IFERROR(INDEX('02_DS_Nhan_Viec'!$E:$E,MATCH(B40,'02_DS_Nhan_Viec'!$J:$J,0)),""))</f>
      </c>
      <c r="E40" s="86"/>
      <c r="F40" s="86"/>
      <c r="G40" s="86"/>
      <c r="H40" s="86"/>
      <c r="I40" s="86"/>
      <c r="J40" s="86"/>
      <c r="K40" s="86"/>
      <c r="L40" s="84">
        <f t="shared" si="1"/>
      </c>
      <c r="M40" s="84">
        <f t="shared" si="7"/>
      </c>
      <c r="N40" s="86"/>
      <c r="O40" s="84">
        <f t="shared" si="3"/>
      </c>
      <c r="P40" s="73">
        <f t="shared" si="4"/>
      </c>
      <c r="Q40" s="52">
        <f t="shared" si="8"/>
      </c>
      <c r="R40" s="56"/>
      <c r="S40" s="61">
        <f t="array" ref="S40">IF($B40="","",IF($R40&lt;&gt;"",IFERROR(INDEX('06_DS_Chinh_Thuc'!$K:$K,MATCH($R40,'06_DS_Chinh_Thuc'!$B:$B,0)),"Đang theo dõi"),"Đang theo dõi"))</f>
      </c>
      <c r="T40" s="83"/>
      <c r="U40" s="83"/>
      <c r="V40" s="83"/>
      <c r="W40" s="83"/>
      <c r="X40" s="83"/>
      <c r="Y40" s="83"/>
      <c r="Z40" s="83"/>
    </row>
    <row r="41" ht="14.25" customHeight="1" spans="1:26" x14ac:dyDescent="0.25">
      <c r="A41" s="84">
        <f t="shared" si="0"/>
      </c>
      <c r="B41" s="86"/>
      <c r="C41" s="84">
        <f t="array" ref="C41">IF(B41="","",IFERROR(INDEX('03_Ho_So_Nhan_Vien'!$E:$E,MATCH(B41,'03_Ho_So_Nhan_Vien'!$C:$C,0)),"Không tìm thấy Mã NV"))</f>
      </c>
      <c r="D41" s="85">
        <f t="array" ref="D41">IF(B41="","",IFERROR(INDEX('02_DS_Nhan_Viec'!$E:$E,MATCH(B41,'02_DS_Nhan_Viec'!$J:$J,0)),""))</f>
      </c>
      <c r="E41" s="86"/>
      <c r="F41" s="86"/>
      <c r="G41" s="86"/>
      <c r="H41" s="86"/>
      <c r="I41" s="86"/>
      <c r="J41" s="86"/>
      <c r="K41" s="86"/>
      <c r="L41" s="84">
        <f t="shared" si="1"/>
      </c>
      <c r="M41" s="84">
        <f t="shared" si="7"/>
      </c>
      <c r="N41" s="86"/>
      <c r="O41" s="84">
        <f t="shared" si="3"/>
      </c>
      <c r="P41" s="73">
        <f t="shared" si="4"/>
      </c>
      <c r="Q41" s="52">
        <f t="shared" si="8"/>
      </c>
      <c r="R41" s="56"/>
      <c r="S41" s="61">
        <f t="array" ref="S41">IF($B41="","",IF($R41&lt;&gt;"",IFERROR(INDEX('06_DS_Chinh_Thuc'!$K:$K,MATCH($R41,'06_DS_Chinh_Thuc'!$B:$B,0)),"Đang theo dõi"),"Đang theo dõi"))</f>
      </c>
      <c r="T41" s="83"/>
      <c r="U41" s="83"/>
      <c r="V41" s="83"/>
      <c r="W41" s="83"/>
      <c r="X41" s="83"/>
      <c r="Y41" s="83"/>
      <c r="Z41" s="83"/>
    </row>
    <row r="42" ht="14.25" customHeight="1" spans="1:26" x14ac:dyDescent="0.25">
      <c r="A42" s="84">
        <f t="shared" si="0"/>
      </c>
      <c r="B42" s="86"/>
      <c r="C42" s="84">
        <f t="array" ref="C42">IF(B42="","",IFERROR(INDEX('03_Ho_So_Nhan_Vien'!$E:$E,MATCH(B42,'03_Ho_So_Nhan_Vien'!$C:$C,0)),"Không tìm thấy Mã NV"))</f>
      </c>
      <c r="D42" s="85">
        <f t="array" ref="D42">IF(B42="","",IFERROR(INDEX('02_DS_Nhan_Viec'!$E:$E,MATCH(B42,'02_DS_Nhan_Viec'!$J:$J,0)),""))</f>
      </c>
      <c r="E42" s="86"/>
      <c r="F42" s="86"/>
      <c r="G42" s="86"/>
      <c r="H42" s="86"/>
      <c r="I42" s="86"/>
      <c r="J42" s="86"/>
      <c r="K42" s="86"/>
      <c r="L42" s="84">
        <f t="shared" si="1"/>
      </c>
      <c r="M42" s="84">
        <f t="shared" si="7"/>
      </c>
      <c r="N42" s="86"/>
      <c r="O42" s="84">
        <f t="shared" si="3"/>
      </c>
      <c r="P42" s="73">
        <f t="shared" si="4"/>
      </c>
      <c r="Q42" s="52">
        <f t="shared" si="8"/>
      </c>
      <c r="R42" s="56"/>
      <c r="S42" s="61">
        <f t="array" ref="S42">IF($B42="","",IF($R42&lt;&gt;"",IFERROR(INDEX('06_DS_Chinh_Thuc'!$K:$K,MATCH($R42,'06_DS_Chinh_Thuc'!$B:$B,0)),"Đang theo dõi"),"Đang theo dõi"))</f>
      </c>
      <c r="T42" s="83"/>
      <c r="U42" s="83"/>
      <c r="V42" s="83"/>
      <c r="W42" s="83"/>
      <c r="X42" s="83"/>
      <c r="Y42" s="83"/>
      <c r="Z42" s="83"/>
    </row>
    <row r="43" ht="14.25" customHeight="1" spans="1:26" x14ac:dyDescent="0.25">
      <c r="A43" s="84">
        <f t="shared" si="0"/>
      </c>
      <c r="B43" s="86"/>
      <c r="C43" s="84">
        <f t="array" ref="C43">IF(B43="","",IFERROR(INDEX('03_Ho_So_Nhan_Vien'!$E:$E,MATCH(B43,'03_Ho_So_Nhan_Vien'!$C:$C,0)),"Không tìm thấy Mã NV"))</f>
      </c>
      <c r="D43" s="85">
        <f t="array" ref="D43">IF(B43="","",IFERROR(INDEX('02_DS_Nhan_Viec'!$E:$E,MATCH(B43,'02_DS_Nhan_Viec'!$J:$J,0)),""))</f>
      </c>
      <c r="E43" s="86"/>
      <c r="F43" s="86"/>
      <c r="G43" s="86"/>
      <c r="H43" s="86"/>
      <c r="I43" s="86"/>
      <c r="J43" s="86"/>
      <c r="K43" s="86"/>
      <c r="L43" s="84">
        <f t="shared" si="1"/>
      </c>
      <c r="M43" s="84">
        <f t="shared" si="7"/>
      </c>
      <c r="N43" s="86"/>
      <c r="O43" s="84">
        <f t="shared" si="3"/>
      </c>
      <c r="P43" s="73">
        <f t="shared" si="4"/>
      </c>
      <c r="Q43" s="52">
        <f t="shared" si="8"/>
      </c>
      <c r="R43" s="56"/>
      <c r="S43" s="61">
        <f t="array" ref="S43">IF($B43="","",IF($R43&lt;&gt;"",IFERROR(INDEX('06_DS_Chinh_Thuc'!$K:$K,MATCH($R43,'06_DS_Chinh_Thuc'!$B:$B,0)),"Đang theo dõi"),"Đang theo dõi"))</f>
      </c>
      <c r="T43" s="83"/>
      <c r="U43" s="83"/>
      <c r="V43" s="83"/>
      <c r="W43" s="83"/>
      <c r="X43" s="83"/>
      <c r="Y43" s="83"/>
      <c r="Z43" s="83"/>
    </row>
    <row r="44" ht="14.25" customHeight="1" spans="1:26" x14ac:dyDescent="0.25">
      <c r="A44" s="84">
        <f t="shared" si="0"/>
      </c>
      <c r="B44" s="86"/>
      <c r="C44" s="84">
        <f t="array" ref="C44">IF(B44="","",IFERROR(INDEX('03_Ho_So_Nhan_Vien'!$E:$E,MATCH(B44,'03_Ho_So_Nhan_Vien'!$C:$C,0)),"Không tìm thấy Mã NV"))</f>
      </c>
      <c r="D44" s="85">
        <f t="array" ref="D44">IF(B44="","",IFERROR(INDEX('02_DS_Nhan_Viec'!$E:$E,MATCH(B44,'02_DS_Nhan_Viec'!$J:$J,0)),""))</f>
      </c>
      <c r="E44" s="86"/>
      <c r="F44" s="86"/>
      <c r="G44" s="86"/>
      <c r="H44" s="86"/>
      <c r="I44" s="86"/>
      <c r="J44" s="86"/>
      <c r="K44" s="86"/>
      <c r="L44" s="84">
        <f t="shared" si="1"/>
      </c>
      <c r="M44" s="84">
        <f t="shared" si="7"/>
      </c>
      <c r="N44" s="86"/>
      <c r="O44" s="84">
        <f t="shared" si="3"/>
      </c>
      <c r="P44" s="73">
        <f t="shared" si="4"/>
      </c>
      <c r="Q44" s="52">
        <f t="shared" si="8"/>
      </c>
      <c r="R44" s="56"/>
      <c r="S44" s="61">
        <f t="array" ref="S44">IF($B44="","",IF($R44&lt;&gt;"",IFERROR(INDEX('06_DS_Chinh_Thuc'!$K:$K,MATCH($R44,'06_DS_Chinh_Thuc'!$B:$B,0)),"Đang theo dõi"),"Đang theo dõi"))</f>
      </c>
      <c r="T44" s="83"/>
      <c r="U44" s="83"/>
      <c r="V44" s="83"/>
      <c r="W44" s="83"/>
      <c r="X44" s="83"/>
      <c r="Y44" s="83"/>
      <c r="Z44" s="83"/>
    </row>
    <row r="45" ht="14.25" customHeight="1" spans="1:26" x14ac:dyDescent="0.25">
      <c r="A45" s="84">
        <f t="shared" si="0"/>
      </c>
      <c r="B45" s="86"/>
      <c r="C45" s="84">
        <f t="array" ref="C45">IF(B45="","",IFERROR(INDEX('03_Ho_So_Nhan_Vien'!$E:$E,MATCH(B45,'03_Ho_So_Nhan_Vien'!$C:$C,0)),"Không tìm thấy Mã NV"))</f>
      </c>
      <c r="D45" s="85">
        <f t="array" ref="D45">IF(B45="","",IFERROR(INDEX('02_DS_Nhan_Viec'!$E:$E,MATCH(B45,'02_DS_Nhan_Viec'!$J:$J,0)),""))</f>
      </c>
      <c r="E45" s="86"/>
      <c r="F45" s="86"/>
      <c r="G45" s="86"/>
      <c r="H45" s="86"/>
      <c r="I45" s="86"/>
      <c r="J45" s="86"/>
      <c r="K45" s="86"/>
      <c r="L45" s="84">
        <f t="shared" si="1"/>
      </c>
      <c r="M45" s="84">
        <f t="shared" si="7"/>
      </c>
      <c r="N45" s="86"/>
      <c r="O45" s="84">
        <f t="shared" si="3"/>
      </c>
      <c r="P45" s="73">
        <f t="shared" si="4"/>
      </c>
      <c r="Q45" s="52">
        <f t="shared" si="8"/>
      </c>
      <c r="R45" s="56"/>
      <c r="S45" s="61">
        <f t="array" ref="S45">IF($B45="","",IF($R45&lt;&gt;"",IFERROR(INDEX('06_DS_Chinh_Thuc'!$K:$K,MATCH($R45,'06_DS_Chinh_Thuc'!$B:$B,0)),"Đang theo dõi"),"Đang theo dõi"))</f>
      </c>
      <c r="T45" s="83"/>
      <c r="U45" s="83"/>
      <c r="V45" s="83"/>
      <c r="W45" s="83"/>
      <c r="X45" s="83"/>
      <c r="Y45" s="83"/>
      <c r="Z45" s="83"/>
    </row>
    <row r="46" ht="14.25" customHeight="1" spans="1:26" x14ac:dyDescent="0.25">
      <c r="A46" s="84">
        <f t="shared" si="0"/>
      </c>
      <c r="B46" s="86"/>
      <c r="C46" s="84">
        <f t="array" ref="C46">IF(B46="","",IFERROR(INDEX('03_Ho_So_Nhan_Vien'!$E:$E,MATCH(B46,'03_Ho_So_Nhan_Vien'!$C:$C,0)),"Không tìm thấy Mã NV"))</f>
      </c>
      <c r="D46" s="85">
        <f t="array" ref="D46">IF(B46="","",IFERROR(INDEX('02_DS_Nhan_Viec'!$E:$E,MATCH(B46,'02_DS_Nhan_Viec'!$J:$J,0)),""))</f>
      </c>
      <c r="E46" s="86"/>
      <c r="F46" s="86"/>
      <c r="G46" s="86"/>
      <c r="H46" s="86"/>
      <c r="I46" s="86"/>
      <c r="J46" s="86"/>
      <c r="K46" s="86"/>
      <c r="L46" s="84">
        <f t="shared" si="1"/>
      </c>
      <c r="M46" s="84">
        <f t="shared" si="7"/>
      </c>
      <c r="N46" s="86"/>
      <c r="O46" s="84">
        <f t="shared" si="3"/>
      </c>
      <c r="P46" s="73">
        <f t="shared" si="4"/>
      </c>
      <c r="Q46" s="52">
        <f t="shared" si="8"/>
      </c>
      <c r="R46" s="56"/>
      <c r="S46" s="61">
        <f t="array" ref="S46">IF($B46="","",IF($R46&lt;&gt;"",IFERROR(INDEX('06_DS_Chinh_Thuc'!$K:$K,MATCH($R46,'06_DS_Chinh_Thuc'!$B:$B,0)),"Đang theo dõi"),"Đang theo dõi"))</f>
      </c>
      <c r="T46" s="83"/>
      <c r="U46" s="83"/>
      <c r="V46" s="83"/>
      <c r="W46" s="83"/>
      <c r="X46" s="83"/>
      <c r="Y46" s="83"/>
      <c r="Z46" s="83"/>
    </row>
    <row r="47" ht="14.25" customHeight="1" spans="1:26" x14ac:dyDescent="0.25">
      <c r="A47" s="84">
        <f t="shared" si="0"/>
      </c>
      <c r="B47" s="86"/>
      <c r="C47" s="84">
        <f t="array" ref="C47">IF(B47="","",IFERROR(INDEX('03_Ho_So_Nhan_Vien'!$E:$E,MATCH(B47,'03_Ho_So_Nhan_Vien'!$C:$C,0)),"Không tìm thấy Mã NV"))</f>
      </c>
      <c r="D47" s="85">
        <f t="array" ref="D47">IF(B47="","",IFERROR(INDEX('02_DS_Nhan_Viec'!$E:$E,MATCH(B47,'02_DS_Nhan_Viec'!$J:$J,0)),""))</f>
      </c>
      <c r="E47" s="86"/>
      <c r="F47" s="86"/>
      <c r="G47" s="86"/>
      <c r="H47" s="86"/>
      <c r="I47" s="86"/>
      <c r="J47" s="86"/>
      <c r="K47" s="86"/>
      <c r="L47" s="84">
        <f t="shared" si="1"/>
      </c>
      <c r="M47" s="84">
        <f t="shared" si="7"/>
      </c>
      <c r="N47" s="86"/>
      <c r="O47" s="84">
        <f t="shared" si="3"/>
      </c>
      <c r="P47" s="73">
        <f t="shared" si="4"/>
      </c>
      <c r="Q47" s="52">
        <f t="shared" si="8"/>
      </c>
      <c r="R47" s="56"/>
      <c r="S47" s="61">
        <f t="array" ref="S47">IF($B47="","",IF($R47&lt;&gt;"",IFERROR(INDEX('06_DS_Chinh_Thuc'!$K:$K,MATCH($R47,'06_DS_Chinh_Thuc'!$B:$B,0)),"Đang theo dõi"),"Đang theo dõi"))</f>
      </c>
      <c r="T47" s="83"/>
      <c r="U47" s="83"/>
      <c r="V47" s="83"/>
      <c r="W47" s="83"/>
      <c r="X47" s="83"/>
      <c r="Y47" s="83"/>
      <c r="Z47" s="83"/>
    </row>
    <row r="48" ht="14.25" customHeight="1" spans="1:26" x14ac:dyDescent="0.25">
      <c r="A48" s="84">
        <f t="shared" si="0"/>
      </c>
      <c r="B48" s="86"/>
      <c r="C48" s="84">
        <f t="array" ref="C48">IF(B48="","",IFERROR(INDEX('03_Ho_So_Nhan_Vien'!$E:$E,MATCH(B48,'03_Ho_So_Nhan_Vien'!$C:$C,0)),"Không tìm thấy Mã NV"))</f>
      </c>
      <c r="D48" s="85">
        <f t="array" ref="D48">IF(B48="","",IFERROR(INDEX('02_DS_Nhan_Viec'!$E:$E,MATCH(B48,'02_DS_Nhan_Viec'!$J:$J,0)),""))</f>
      </c>
      <c r="E48" s="86"/>
      <c r="F48" s="86"/>
      <c r="G48" s="86"/>
      <c r="H48" s="86"/>
      <c r="I48" s="86"/>
      <c r="J48" s="86"/>
      <c r="K48" s="86"/>
      <c r="L48" s="84">
        <f t="shared" si="1"/>
      </c>
      <c r="M48" s="84">
        <f t="shared" si="7"/>
      </c>
      <c r="N48" s="86"/>
      <c r="O48" s="84">
        <f t="shared" si="3"/>
      </c>
      <c r="P48" s="73">
        <f t="shared" si="4"/>
      </c>
      <c r="Q48" s="52">
        <f t="shared" si="8"/>
      </c>
      <c r="R48" s="56"/>
      <c r="S48" s="61">
        <f t="array" ref="S48">IF($B48="","",IF($R48&lt;&gt;"",IFERROR(INDEX('06_DS_Chinh_Thuc'!$K:$K,MATCH($R48,'06_DS_Chinh_Thuc'!$B:$B,0)),"Đang theo dõi"),"Đang theo dõi"))</f>
      </c>
      <c r="T48" s="83"/>
      <c r="U48" s="83"/>
      <c r="V48" s="83"/>
      <c r="W48" s="83"/>
      <c r="X48" s="83"/>
      <c r="Y48" s="83"/>
      <c r="Z48" s="83"/>
    </row>
    <row r="49" ht="14.25" customHeight="1" spans="1:26" x14ac:dyDescent="0.25">
      <c r="A49" s="84">
        <f t="shared" si="0"/>
      </c>
      <c r="B49" s="86"/>
      <c r="C49" s="84">
        <f t="array" ref="C49">IF(B49="","",IFERROR(INDEX('03_Ho_So_Nhan_Vien'!$E:$E,MATCH(B49,'03_Ho_So_Nhan_Vien'!$C:$C,0)),"Không tìm thấy Mã NV"))</f>
      </c>
      <c r="D49" s="85">
        <f t="array" ref="D49">IF(B49="","",IFERROR(INDEX('02_DS_Nhan_Viec'!$E:$E,MATCH(B49,'02_DS_Nhan_Viec'!$J:$J,0)),""))</f>
      </c>
      <c r="E49" s="86"/>
      <c r="F49" s="86"/>
      <c r="G49" s="86"/>
      <c r="H49" s="86"/>
      <c r="I49" s="86"/>
      <c r="J49" s="86"/>
      <c r="K49" s="86"/>
      <c r="L49" s="84">
        <f t="shared" si="1"/>
      </c>
      <c r="M49" s="84">
        <f t="shared" si="7"/>
      </c>
      <c r="N49" s="86"/>
      <c r="O49" s="84">
        <f t="shared" si="3"/>
      </c>
      <c r="P49" s="73">
        <f t="shared" si="4"/>
      </c>
      <c r="Q49" s="52">
        <f t="shared" si="8"/>
      </c>
      <c r="R49" s="56"/>
      <c r="S49" s="61">
        <f t="array" ref="S49">IF($B49="","",IF($R49&lt;&gt;"",IFERROR(INDEX('06_DS_Chinh_Thuc'!$K:$K,MATCH($R49,'06_DS_Chinh_Thuc'!$B:$B,0)),"Đang theo dõi"),"Đang theo dõi"))</f>
      </c>
      <c r="T49" s="83"/>
      <c r="U49" s="83"/>
      <c r="V49" s="83"/>
      <c r="W49" s="83"/>
      <c r="X49" s="83"/>
      <c r="Y49" s="83"/>
      <c r="Z49" s="83"/>
    </row>
    <row r="50" ht="14.25" customHeight="1" spans="1:26" x14ac:dyDescent="0.25">
      <c r="A50" s="84">
        <f t="shared" si="0"/>
      </c>
      <c r="B50" s="86"/>
      <c r="C50" s="84">
        <f t="array" ref="C50">IF(B50="","",IFERROR(INDEX('03_Ho_So_Nhan_Vien'!$E:$E,MATCH(B50,'03_Ho_So_Nhan_Vien'!$C:$C,0)),"Không tìm thấy Mã NV"))</f>
      </c>
      <c r="D50" s="85">
        <f t="array" ref="D50">IF(B50="","",IFERROR(INDEX('02_DS_Nhan_Viec'!$E:$E,MATCH(B50,'02_DS_Nhan_Viec'!$J:$J,0)),""))</f>
      </c>
      <c r="E50" s="86"/>
      <c r="F50" s="86"/>
      <c r="G50" s="86"/>
      <c r="H50" s="86"/>
      <c r="I50" s="86"/>
      <c r="J50" s="86"/>
      <c r="K50" s="86"/>
      <c r="L50" s="84">
        <f t="shared" si="1"/>
      </c>
      <c r="M50" s="84">
        <f t="shared" si="7"/>
      </c>
      <c r="N50" s="86"/>
      <c r="O50" s="84">
        <f t="shared" si="3"/>
      </c>
      <c r="P50" s="73">
        <f t="shared" si="4"/>
      </c>
      <c r="Q50" s="52">
        <f t="shared" si="8"/>
      </c>
      <c r="R50" s="56"/>
      <c r="S50" s="61">
        <f t="array" ref="S50">IF($B50="","",IF($R50&lt;&gt;"",IFERROR(INDEX('06_DS_Chinh_Thuc'!$K:$K,MATCH($R50,'06_DS_Chinh_Thuc'!$B:$B,0)),"Đang theo dõi"),"Đang theo dõi"))</f>
      </c>
      <c r="T50" s="83"/>
      <c r="U50" s="83"/>
      <c r="V50" s="83"/>
      <c r="W50" s="83"/>
      <c r="X50" s="83"/>
      <c r="Y50" s="83"/>
      <c r="Z50" s="83"/>
    </row>
    <row r="51" ht="14.25" customHeight="1" spans="1:26" x14ac:dyDescent="0.25">
      <c r="A51" s="84">
        <f t="shared" si="0"/>
      </c>
      <c r="B51" s="86"/>
      <c r="C51" s="84">
        <f t="array" ref="C51">IF(B51="","",IFERROR(INDEX('03_Ho_So_Nhan_Vien'!$E:$E,MATCH(B51,'03_Ho_So_Nhan_Vien'!$C:$C,0)),"Không tìm thấy Mã NV"))</f>
      </c>
      <c r="D51" s="85">
        <f t="array" ref="D51">IF(B51="","",IFERROR(INDEX('02_DS_Nhan_Viec'!$E:$E,MATCH(B51,'02_DS_Nhan_Viec'!$J:$J,0)),""))</f>
      </c>
      <c r="E51" s="86"/>
      <c r="F51" s="86"/>
      <c r="G51" s="86"/>
      <c r="H51" s="86"/>
      <c r="I51" s="86"/>
      <c r="J51" s="86"/>
      <c r="K51" s="86"/>
      <c r="L51" s="84">
        <f t="shared" si="1"/>
      </c>
      <c r="M51" s="84">
        <f t="shared" si="7"/>
      </c>
      <c r="N51" s="86"/>
      <c r="O51" s="84">
        <f t="shared" si="3"/>
      </c>
      <c r="P51" s="73">
        <f t="shared" si="4"/>
      </c>
      <c r="Q51" s="52">
        <f t="shared" si="8"/>
      </c>
      <c r="R51" s="56"/>
      <c r="S51" s="61">
        <f t="array" ref="S51">IF($B51="","",IF($R51&lt;&gt;"",IFERROR(INDEX('06_DS_Chinh_Thuc'!$K:$K,MATCH($R51,'06_DS_Chinh_Thuc'!$B:$B,0)),"Đang theo dõi"),"Đang theo dõi"))</f>
      </c>
      <c r="T51" s="83"/>
      <c r="U51" s="83"/>
      <c r="V51" s="83"/>
      <c r="W51" s="83"/>
      <c r="X51" s="83"/>
      <c r="Y51" s="83"/>
      <c r="Z51" s="83"/>
    </row>
    <row r="52" ht="14.25" customHeight="1" spans="1:26" x14ac:dyDescent="0.25">
      <c r="A52" s="84">
        <f t="shared" si="0"/>
      </c>
      <c r="B52" s="86"/>
      <c r="C52" s="84">
        <f t="array" ref="C52">IF(B52="","",IFERROR(INDEX('03_Ho_So_Nhan_Vien'!$E:$E,MATCH(B52,'03_Ho_So_Nhan_Vien'!$C:$C,0)),"Không tìm thấy Mã NV"))</f>
      </c>
      <c r="D52" s="85">
        <f t="array" ref="D52">IF(B52="","",IFERROR(INDEX('02_DS_Nhan_Viec'!$E:$E,MATCH(B52,'02_DS_Nhan_Viec'!$J:$J,0)),""))</f>
      </c>
      <c r="E52" s="86"/>
      <c r="F52" s="86"/>
      <c r="G52" s="86"/>
      <c r="H52" s="86"/>
      <c r="I52" s="86"/>
      <c r="J52" s="86"/>
      <c r="K52" s="86"/>
      <c r="L52" s="84">
        <f t="shared" si="1"/>
      </c>
      <c r="M52" s="84">
        <f t="shared" si="7"/>
      </c>
      <c r="N52" s="86"/>
      <c r="O52" s="84">
        <f t="shared" si="3"/>
      </c>
      <c r="P52" s="73">
        <f t="shared" si="4"/>
      </c>
      <c r="Q52" s="52">
        <f t="shared" si="8"/>
      </c>
      <c r="R52" s="56"/>
      <c r="S52" s="61">
        <f t="array" ref="S52">IF($B52="","",IF($R52&lt;&gt;"",IFERROR(INDEX('06_DS_Chinh_Thuc'!$K:$K,MATCH($R52,'06_DS_Chinh_Thuc'!$B:$B,0)),"Đang theo dõi"),"Đang theo dõi"))</f>
      </c>
      <c r="T52" s="83"/>
      <c r="U52" s="83"/>
      <c r="V52" s="83"/>
      <c r="W52" s="83"/>
      <c r="X52" s="83"/>
      <c r="Y52" s="83"/>
      <c r="Z52" s="83"/>
    </row>
    <row r="53" ht="14.25" customHeight="1" spans="1:26" x14ac:dyDescent="0.25">
      <c r="A53" s="84">
        <f t="shared" si="0"/>
      </c>
      <c r="B53" s="86"/>
      <c r="C53" s="84">
        <f t="array" ref="C53">IF(B53="","",IFERROR(INDEX('03_Ho_So_Nhan_Vien'!$E:$E,MATCH(B53,'03_Ho_So_Nhan_Vien'!$C:$C,0)),"Không tìm thấy Mã NV"))</f>
      </c>
      <c r="D53" s="85">
        <f t="array" ref="D53">IF(B53="","",IFERROR(INDEX('02_DS_Nhan_Viec'!$E:$E,MATCH(B53,'02_DS_Nhan_Viec'!$J:$J,0)),""))</f>
      </c>
      <c r="E53" s="86"/>
      <c r="F53" s="86"/>
      <c r="G53" s="86"/>
      <c r="H53" s="86"/>
      <c r="I53" s="86"/>
      <c r="J53" s="86"/>
      <c r="K53" s="86"/>
      <c r="L53" s="84">
        <f t="shared" si="1"/>
      </c>
      <c r="M53" s="84">
        <f t="shared" si="7"/>
      </c>
      <c r="N53" s="86"/>
      <c r="O53" s="84">
        <f t="shared" si="3"/>
      </c>
      <c r="P53" s="73">
        <f t="shared" si="4"/>
      </c>
      <c r="Q53" s="52">
        <f t="shared" si="8"/>
      </c>
      <c r="R53" s="56"/>
      <c r="S53" s="61">
        <f t="array" ref="S53">IF($B53="","",IF($R53&lt;&gt;"",IFERROR(INDEX('06_DS_Chinh_Thuc'!$K:$K,MATCH($R53,'06_DS_Chinh_Thuc'!$B:$B,0)),"Đang theo dõi"),"Đang theo dõi"))</f>
      </c>
      <c r="T53" s="83"/>
      <c r="U53" s="83"/>
      <c r="V53" s="83"/>
      <c r="W53" s="83"/>
      <c r="X53" s="83"/>
      <c r="Y53" s="83"/>
      <c r="Z53" s="83"/>
    </row>
    <row r="54" ht="14.25" customHeight="1" spans="1:26" x14ac:dyDescent="0.25">
      <c r="A54" s="84">
        <f t="shared" si="0"/>
      </c>
      <c r="B54" s="86"/>
      <c r="C54" s="84">
        <f t="array" ref="C54">IF(B54="","",IFERROR(INDEX('03_Ho_So_Nhan_Vien'!$E:$E,MATCH(B54,'03_Ho_So_Nhan_Vien'!$C:$C,0)),"Không tìm thấy Mã NV"))</f>
      </c>
      <c r="D54" s="85">
        <f t="array" ref="D54">IF(B54="","",IFERROR(INDEX('02_DS_Nhan_Viec'!$E:$E,MATCH(B54,'02_DS_Nhan_Viec'!$J:$J,0)),""))</f>
      </c>
      <c r="E54" s="86"/>
      <c r="F54" s="86"/>
      <c r="G54" s="86"/>
      <c r="H54" s="86"/>
      <c r="I54" s="86"/>
      <c r="J54" s="86"/>
      <c r="K54" s="86"/>
      <c r="L54" s="84">
        <f t="shared" si="1"/>
      </c>
      <c r="M54" s="84">
        <f t="shared" si="7"/>
      </c>
      <c r="N54" s="86"/>
      <c r="O54" s="84">
        <f t="shared" si="3"/>
      </c>
      <c r="P54" s="73">
        <f t="shared" si="4"/>
      </c>
      <c r="Q54" s="52">
        <f t="shared" si="8"/>
      </c>
      <c r="R54" s="56"/>
      <c r="S54" s="61">
        <f t="array" ref="S54">IF($B54="","",IF($R54&lt;&gt;"",IFERROR(INDEX('06_DS_Chinh_Thuc'!$K:$K,MATCH($R54,'06_DS_Chinh_Thuc'!$B:$B,0)),"Đang theo dõi"),"Đang theo dõi"))</f>
      </c>
      <c r="T54" s="83"/>
      <c r="U54" s="83"/>
      <c r="V54" s="83"/>
      <c r="W54" s="83"/>
      <c r="X54" s="83"/>
      <c r="Y54" s="83"/>
      <c r="Z54" s="83"/>
    </row>
    <row r="55" ht="14.25" customHeight="1" spans="1:26" x14ac:dyDescent="0.25">
      <c r="A55" s="84">
        <f t="shared" si="0"/>
      </c>
      <c r="B55" s="86"/>
      <c r="C55" s="84">
        <f t="array" ref="C55">IF(B55="","",IFERROR(INDEX('03_Ho_So_Nhan_Vien'!$E:$E,MATCH(B55,'03_Ho_So_Nhan_Vien'!$C:$C,0)),"Không tìm thấy Mã NV"))</f>
      </c>
      <c r="D55" s="85">
        <f t="array" ref="D55">IF(B55="","",IFERROR(INDEX('02_DS_Nhan_Viec'!$E:$E,MATCH(B55,'02_DS_Nhan_Viec'!$J:$J,0)),""))</f>
      </c>
      <c r="E55" s="86"/>
      <c r="F55" s="86"/>
      <c r="G55" s="86"/>
      <c r="H55" s="86"/>
      <c r="I55" s="86"/>
      <c r="J55" s="86"/>
      <c r="K55" s="86"/>
      <c r="L55" s="84">
        <f t="shared" si="1"/>
      </c>
      <c r="M55" s="84">
        <f t="shared" si="7"/>
      </c>
      <c r="N55" s="86"/>
      <c r="O55" s="84">
        <f t="shared" si="3"/>
      </c>
      <c r="P55" s="73">
        <f t="shared" si="4"/>
      </c>
      <c r="Q55" s="52">
        <f t="shared" si="8"/>
      </c>
      <c r="R55" s="56"/>
      <c r="S55" s="61">
        <f t="array" ref="S55">IF($B55="","",IF($R55&lt;&gt;"",IFERROR(INDEX('06_DS_Chinh_Thuc'!$K:$K,MATCH($R55,'06_DS_Chinh_Thuc'!$B:$B,0)),"Đang theo dõi"),"Đang theo dõi"))</f>
      </c>
      <c r="T55" s="83"/>
      <c r="U55" s="83"/>
      <c r="V55" s="83"/>
      <c r="W55" s="83"/>
      <c r="X55" s="83"/>
      <c r="Y55" s="83"/>
      <c r="Z55" s="83"/>
    </row>
    <row r="56" ht="14.25" customHeight="1" spans="1:26" x14ac:dyDescent="0.25">
      <c r="A56" s="84">
        <f t="shared" si="0"/>
      </c>
      <c r="B56" s="86"/>
      <c r="C56" s="84">
        <f t="array" ref="C56">IF(B56="","",IFERROR(INDEX('03_Ho_So_Nhan_Vien'!$E:$E,MATCH(B56,'03_Ho_So_Nhan_Vien'!$C:$C,0)),"Không tìm thấy Mã NV"))</f>
      </c>
      <c r="D56" s="85">
        <f t="array" ref="D56">IF(B56="","",IFERROR(INDEX('02_DS_Nhan_Viec'!$E:$E,MATCH(B56,'02_DS_Nhan_Viec'!$J:$J,0)),""))</f>
      </c>
      <c r="E56" s="86"/>
      <c r="F56" s="86"/>
      <c r="G56" s="86"/>
      <c r="H56" s="86"/>
      <c r="I56" s="86"/>
      <c r="J56" s="86"/>
      <c r="K56" s="86"/>
      <c r="L56" s="84">
        <f t="shared" si="1"/>
      </c>
      <c r="M56" s="84">
        <f t="shared" si="7"/>
      </c>
      <c r="N56" s="86"/>
      <c r="O56" s="84">
        <f t="shared" si="3"/>
      </c>
      <c r="P56" s="73">
        <f t="shared" si="4"/>
      </c>
      <c r="Q56" s="52">
        <f t="shared" si="8"/>
      </c>
      <c r="R56" s="56"/>
      <c r="S56" s="61">
        <f t="array" ref="S56">IF($B56="","",IF($R56&lt;&gt;"",IFERROR(INDEX('06_DS_Chinh_Thuc'!$K:$K,MATCH($R56,'06_DS_Chinh_Thuc'!$B:$B,0)),"Đang theo dõi"),"Đang theo dõi"))</f>
      </c>
      <c r="T56" s="83"/>
      <c r="U56" s="83"/>
      <c r="V56" s="83"/>
      <c r="W56" s="83"/>
      <c r="X56" s="83"/>
      <c r="Y56" s="83"/>
      <c r="Z56" s="83"/>
    </row>
    <row r="57" ht="14.25" customHeight="1" spans="1:26" x14ac:dyDescent="0.25">
      <c r="A57" s="84">
        <f t="shared" si="0"/>
      </c>
      <c r="B57" s="86"/>
      <c r="C57" s="84">
        <f t="array" ref="C57">IF(B57="","",IFERROR(INDEX('03_Ho_So_Nhan_Vien'!$E:$E,MATCH(B57,'03_Ho_So_Nhan_Vien'!$C:$C,0)),"Không tìm thấy Mã NV"))</f>
      </c>
      <c r="D57" s="85">
        <f t="array" ref="D57">IF(B57="","",IFERROR(INDEX('02_DS_Nhan_Viec'!$E:$E,MATCH(B57,'02_DS_Nhan_Viec'!$J:$J,0)),""))</f>
      </c>
      <c r="E57" s="86"/>
      <c r="F57" s="86"/>
      <c r="G57" s="86"/>
      <c r="H57" s="86"/>
      <c r="I57" s="86"/>
      <c r="J57" s="86"/>
      <c r="K57" s="86"/>
      <c r="L57" s="84">
        <f t="shared" si="1"/>
      </c>
      <c r="M57" s="84">
        <f t="shared" si="7"/>
      </c>
      <c r="N57" s="86"/>
      <c r="O57" s="84">
        <f t="shared" si="3"/>
      </c>
      <c r="P57" s="73">
        <f t="shared" si="4"/>
      </c>
      <c r="Q57" s="52">
        <f t="shared" si="8"/>
      </c>
      <c r="R57" s="56"/>
      <c r="S57" s="61">
        <f t="array" ref="S57">IF($B57="","",IF($R57&lt;&gt;"",IFERROR(INDEX('06_DS_Chinh_Thuc'!$K:$K,MATCH($R57,'06_DS_Chinh_Thuc'!$B:$B,0)),"Đang theo dõi"),"Đang theo dõi"))</f>
      </c>
      <c r="T57" s="83"/>
      <c r="U57" s="83"/>
      <c r="V57" s="83"/>
      <c r="W57" s="83"/>
      <c r="X57" s="83"/>
      <c r="Y57" s="83"/>
      <c r="Z57" s="83"/>
    </row>
    <row r="58" ht="14.25" customHeight="1" spans="1:26" x14ac:dyDescent="0.25">
      <c r="A58" s="84">
        <f t="shared" si="0"/>
      </c>
      <c r="B58" s="86"/>
      <c r="C58" s="84">
        <f t="array" ref="C58">IF(B58="","",IFERROR(INDEX('03_Ho_So_Nhan_Vien'!$E:$E,MATCH(B58,'03_Ho_So_Nhan_Vien'!$C:$C,0)),"Không tìm thấy Mã NV"))</f>
      </c>
      <c r="D58" s="85">
        <f t="array" ref="D58">IF(B58="","",IFERROR(INDEX('02_DS_Nhan_Viec'!$E:$E,MATCH(B58,'02_DS_Nhan_Viec'!$J:$J,0)),""))</f>
      </c>
      <c r="E58" s="86"/>
      <c r="F58" s="86"/>
      <c r="G58" s="86"/>
      <c r="H58" s="86"/>
      <c r="I58" s="86"/>
      <c r="J58" s="86"/>
      <c r="K58" s="86"/>
      <c r="L58" s="84">
        <f t="shared" si="1"/>
      </c>
      <c r="M58" s="84">
        <f t="shared" si="7"/>
      </c>
      <c r="N58" s="86"/>
      <c r="O58" s="84">
        <f t="shared" si="3"/>
      </c>
      <c r="P58" s="73">
        <f t="shared" si="4"/>
      </c>
      <c r="Q58" s="52">
        <f t="shared" si="8"/>
      </c>
      <c r="R58" s="56"/>
      <c r="S58" s="61">
        <f t="array" ref="S58">IF($B58="","",IF($R58&lt;&gt;"",IFERROR(INDEX('06_DS_Chinh_Thuc'!$K:$K,MATCH($R58,'06_DS_Chinh_Thuc'!$B:$B,0)),"Đang theo dõi"),"Đang theo dõi"))</f>
      </c>
      <c r="T58" s="83"/>
      <c r="U58" s="83"/>
      <c r="V58" s="83"/>
      <c r="W58" s="83"/>
      <c r="X58" s="83"/>
      <c r="Y58" s="83"/>
      <c r="Z58" s="83"/>
    </row>
    <row r="59" ht="14.25" customHeight="1" spans="1:26" x14ac:dyDescent="0.25">
      <c r="A59" s="84">
        <f t="shared" si="0"/>
      </c>
      <c r="B59" s="86"/>
      <c r="C59" s="84">
        <f t="array" ref="C59">IF(B59="","",IFERROR(INDEX('03_Ho_So_Nhan_Vien'!$E:$E,MATCH(B59,'03_Ho_So_Nhan_Vien'!$C:$C,0)),"Không tìm thấy Mã NV"))</f>
      </c>
      <c r="D59" s="85">
        <f t="array" ref="D59">IF(B59="","",IFERROR(INDEX('02_DS_Nhan_Viec'!$E:$E,MATCH(B59,'02_DS_Nhan_Viec'!$J:$J,0)),""))</f>
      </c>
      <c r="E59" s="86"/>
      <c r="F59" s="86"/>
      <c r="G59" s="86"/>
      <c r="H59" s="86"/>
      <c r="I59" s="86"/>
      <c r="J59" s="86"/>
      <c r="K59" s="86"/>
      <c r="L59" s="84">
        <f t="shared" si="1"/>
      </c>
      <c r="M59" s="84">
        <f t="shared" si="7"/>
      </c>
      <c r="N59" s="86"/>
      <c r="O59" s="84">
        <f t="shared" si="3"/>
      </c>
      <c r="P59" s="73">
        <f t="shared" si="4"/>
      </c>
      <c r="Q59" s="52">
        <f t="shared" si="8"/>
      </c>
      <c r="R59" s="56"/>
      <c r="S59" s="61">
        <f t="array" ref="S59">IF($B59="","",IF($R59&lt;&gt;"",IFERROR(INDEX('06_DS_Chinh_Thuc'!$K:$K,MATCH($R59,'06_DS_Chinh_Thuc'!$B:$B,0)),"Đang theo dõi"),"Đang theo dõi"))</f>
      </c>
      <c r="T59" s="83"/>
      <c r="U59" s="83"/>
      <c r="V59" s="83"/>
      <c r="W59" s="83"/>
      <c r="X59" s="83"/>
      <c r="Y59" s="83"/>
      <c r="Z59" s="83"/>
    </row>
    <row r="60" ht="14.25" customHeight="1" spans="1:26" x14ac:dyDescent="0.25">
      <c r="A60" s="84">
        <f t="shared" si="0"/>
      </c>
      <c r="B60" s="86"/>
      <c r="C60" s="84">
        <f t="array" ref="C60">IF(B60="","",IFERROR(INDEX('03_Ho_So_Nhan_Vien'!$E:$E,MATCH(B60,'03_Ho_So_Nhan_Vien'!$C:$C,0)),"Không tìm thấy Mã NV"))</f>
      </c>
      <c r="D60" s="85">
        <f t="array" ref="D60">IF(B60="","",IFERROR(INDEX('02_DS_Nhan_Viec'!$E:$E,MATCH(B60,'02_DS_Nhan_Viec'!$J:$J,0)),""))</f>
      </c>
      <c r="E60" s="86"/>
      <c r="F60" s="86"/>
      <c r="G60" s="86"/>
      <c r="H60" s="86"/>
      <c r="I60" s="86"/>
      <c r="J60" s="86"/>
      <c r="K60" s="86"/>
      <c r="L60" s="84">
        <f t="shared" si="1"/>
      </c>
      <c r="M60" s="84">
        <f t="shared" si="7"/>
      </c>
      <c r="N60" s="86"/>
      <c r="O60" s="84">
        <f t="shared" si="3"/>
      </c>
      <c r="P60" s="73">
        <f t="shared" si="4"/>
      </c>
      <c r="Q60" s="52">
        <f t="shared" si="8"/>
      </c>
      <c r="R60" s="56"/>
      <c r="S60" s="61">
        <f t="array" ref="S60">IF($B60="","",IF($R60&lt;&gt;"",IFERROR(INDEX('06_DS_Chinh_Thuc'!$K:$K,MATCH($R60,'06_DS_Chinh_Thuc'!$B:$B,0)),"Đang theo dõi"),"Đang theo dõi"))</f>
      </c>
      <c r="T60" s="83"/>
      <c r="U60" s="83"/>
      <c r="V60" s="83"/>
      <c r="W60" s="83"/>
      <c r="X60" s="83"/>
      <c r="Y60" s="83"/>
      <c r="Z60" s="83"/>
    </row>
    <row r="61" ht="14.25" customHeight="1" spans="1:26" x14ac:dyDescent="0.25">
      <c r="A61" s="84">
        <f t="shared" si="0"/>
      </c>
      <c r="B61" s="86"/>
      <c r="C61" s="84">
        <f t="array" ref="C61">IF(B61="","",IFERROR(INDEX('03_Ho_So_Nhan_Vien'!$E:$E,MATCH(B61,'03_Ho_So_Nhan_Vien'!$C:$C,0)),"Không tìm thấy Mã NV"))</f>
      </c>
      <c r="D61" s="85">
        <f t="array" ref="D61">IF(B61="","",IFERROR(INDEX('02_DS_Nhan_Viec'!$E:$E,MATCH(B61,'02_DS_Nhan_Viec'!$J:$J,0)),""))</f>
      </c>
      <c r="E61" s="86"/>
      <c r="F61" s="86"/>
      <c r="G61" s="86"/>
      <c r="H61" s="86"/>
      <c r="I61" s="86"/>
      <c r="J61" s="86"/>
      <c r="K61" s="86"/>
      <c r="L61" s="84">
        <f t="shared" si="1"/>
      </c>
      <c r="M61" s="84">
        <f t="shared" si="7"/>
      </c>
      <c r="N61" s="86"/>
      <c r="O61" s="84">
        <f t="shared" si="3"/>
      </c>
      <c r="P61" s="73">
        <f t="shared" si="4"/>
      </c>
      <c r="Q61" s="52">
        <f t="shared" si="8"/>
      </c>
      <c r="R61" s="56"/>
      <c r="S61" s="61">
        <f t="array" ref="S61">IF($B61="","",IF($R61&lt;&gt;"",IFERROR(INDEX('06_DS_Chinh_Thuc'!$K:$K,MATCH($R61,'06_DS_Chinh_Thuc'!$B:$B,0)),"Đang theo dõi"),"Đang theo dõi"))</f>
      </c>
      <c r="T61" s="83"/>
      <c r="U61" s="83"/>
      <c r="V61" s="83"/>
      <c r="W61" s="83"/>
      <c r="X61" s="83"/>
      <c r="Y61" s="83"/>
      <c r="Z61" s="83"/>
    </row>
    <row r="62" ht="14.25" customHeight="1" spans="1:26" x14ac:dyDescent="0.25">
      <c r="A62" s="84">
        <f t="shared" si="0"/>
      </c>
      <c r="B62" s="86"/>
      <c r="C62" s="84">
        <f t="array" ref="C62">IF(B62="","",IFERROR(INDEX('03_Ho_So_Nhan_Vien'!$E:$E,MATCH(B62,'03_Ho_So_Nhan_Vien'!$C:$C,0)),"Không tìm thấy Mã NV"))</f>
      </c>
      <c r="D62" s="85">
        <f t="array" ref="D62">IF(B62="","",IFERROR(INDEX('02_DS_Nhan_Viec'!$E:$E,MATCH(B62,'02_DS_Nhan_Viec'!$J:$J,0)),""))</f>
      </c>
      <c r="E62" s="86"/>
      <c r="F62" s="86"/>
      <c r="G62" s="86"/>
      <c r="H62" s="86"/>
      <c r="I62" s="86"/>
      <c r="J62" s="86"/>
      <c r="K62" s="86"/>
      <c r="L62" s="84">
        <f t="shared" si="1"/>
      </c>
      <c r="M62" s="84">
        <f t="shared" si="7"/>
      </c>
      <c r="N62" s="86"/>
      <c r="O62" s="84">
        <f t="shared" si="3"/>
      </c>
      <c r="P62" s="73">
        <f t="shared" si="4"/>
      </c>
      <c r="Q62" s="52">
        <f t="shared" si="8"/>
      </c>
      <c r="R62" s="56"/>
      <c r="S62" s="61">
        <f t="array" ref="S62">IF($B62="","",IF($R62&lt;&gt;"",IFERROR(INDEX('06_DS_Chinh_Thuc'!$K:$K,MATCH($R62,'06_DS_Chinh_Thuc'!$B:$B,0)),"Đang theo dõi"),"Đang theo dõi"))</f>
      </c>
      <c r="T62" s="83"/>
      <c r="U62" s="83"/>
      <c r="V62" s="83"/>
      <c r="W62" s="83"/>
      <c r="X62" s="83"/>
      <c r="Y62" s="83"/>
      <c r="Z62" s="83"/>
    </row>
    <row r="63" ht="14.25" customHeight="1" spans="1:26" x14ac:dyDescent="0.25">
      <c r="A63" s="84">
        <f t="shared" si="0"/>
      </c>
      <c r="B63" s="86"/>
      <c r="C63" s="84">
        <f t="array" ref="C63">IF(B63="","",IFERROR(INDEX('03_Ho_So_Nhan_Vien'!$E:$E,MATCH(B63,'03_Ho_So_Nhan_Vien'!$C:$C,0)),"Không tìm thấy Mã NV"))</f>
      </c>
      <c r="D63" s="85">
        <f t="array" ref="D63">IF(B63="","",IFERROR(INDEX('02_DS_Nhan_Viec'!$E:$E,MATCH(B63,'02_DS_Nhan_Viec'!$J:$J,0)),""))</f>
      </c>
      <c r="E63" s="86"/>
      <c r="F63" s="86"/>
      <c r="G63" s="86"/>
      <c r="H63" s="86"/>
      <c r="I63" s="86"/>
      <c r="J63" s="86"/>
      <c r="K63" s="86"/>
      <c r="L63" s="84">
        <f t="shared" si="1"/>
      </c>
      <c r="M63" s="84">
        <f t="shared" si="7"/>
      </c>
      <c r="N63" s="86"/>
      <c r="O63" s="84">
        <f t="shared" si="3"/>
      </c>
      <c r="P63" s="73">
        <f t="shared" si="4"/>
      </c>
      <c r="Q63" s="52">
        <f t="shared" si="8"/>
      </c>
      <c r="R63" s="56"/>
      <c r="S63" s="61">
        <f t="array" ref="S63">IF($B63="","",IF($R63&lt;&gt;"",IFERROR(INDEX('06_DS_Chinh_Thuc'!$K:$K,MATCH($R63,'06_DS_Chinh_Thuc'!$B:$B,0)),"Đang theo dõi"),"Đang theo dõi"))</f>
      </c>
      <c r="T63" s="83"/>
      <c r="U63" s="83"/>
      <c r="V63" s="83"/>
      <c r="W63" s="83"/>
      <c r="X63" s="83"/>
      <c r="Y63" s="83"/>
      <c r="Z63" s="83"/>
    </row>
    <row r="64" ht="14.25" customHeight="1" spans="1:26" x14ac:dyDescent="0.25">
      <c r="A64" s="84">
        <f t="shared" si="0"/>
      </c>
      <c r="B64" s="86"/>
      <c r="C64" s="84">
        <f t="array" ref="C64">IF(B64="","",IFERROR(INDEX('03_Ho_So_Nhan_Vien'!$E:$E,MATCH(B64,'03_Ho_So_Nhan_Vien'!$C:$C,0)),"Không tìm thấy Mã NV"))</f>
      </c>
      <c r="D64" s="85">
        <f t="array" ref="D64">IF(B64="","",IFERROR(INDEX('02_DS_Nhan_Viec'!$E:$E,MATCH(B64,'02_DS_Nhan_Viec'!$J:$J,0)),""))</f>
      </c>
      <c r="E64" s="86"/>
      <c r="F64" s="86"/>
      <c r="G64" s="86"/>
      <c r="H64" s="86"/>
      <c r="I64" s="86"/>
      <c r="J64" s="86"/>
      <c r="K64" s="86"/>
      <c r="L64" s="84">
        <f t="shared" si="1"/>
      </c>
      <c r="M64" s="84">
        <f t="shared" si="7"/>
      </c>
      <c r="N64" s="86"/>
      <c r="O64" s="84">
        <f t="shared" si="3"/>
      </c>
      <c r="P64" s="73">
        <f t="shared" si="4"/>
      </c>
      <c r="Q64" s="52">
        <f t="shared" si="8"/>
      </c>
      <c r="R64" s="56"/>
      <c r="S64" s="61">
        <f t="array" ref="S64">IF($B64="","",IF($R64&lt;&gt;"",IFERROR(INDEX('06_DS_Chinh_Thuc'!$K:$K,MATCH($R64,'06_DS_Chinh_Thuc'!$B:$B,0)),"Đang theo dõi"),"Đang theo dõi"))</f>
      </c>
      <c r="T64" s="83"/>
      <c r="U64" s="83"/>
      <c r="V64" s="83"/>
      <c r="W64" s="83"/>
      <c r="X64" s="83"/>
      <c r="Y64" s="83"/>
      <c r="Z64" s="83"/>
    </row>
    <row r="65" ht="14.25" customHeight="1" spans="1:26" x14ac:dyDescent="0.25">
      <c r="A65" s="84">
        <f t="shared" si="0"/>
      </c>
      <c r="B65" s="86"/>
      <c r="C65" s="84">
        <f t="array" ref="C65">IF(B65="","",IFERROR(INDEX('03_Ho_So_Nhan_Vien'!$E:$E,MATCH(B65,'03_Ho_So_Nhan_Vien'!$C:$C,0)),"Không tìm thấy Mã NV"))</f>
      </c>
      <c r="D65" s="85">
        <f t="array" ref="D65">IF(B65="","",IFERROR(INDEX('02_DS_Nhan_Viec'!$E:$E,MATCH(B65,'02_DS_Nhan_Viec'!$J:$J,0)),""))</f>
      </c>
      <c r="E65" s="86"/>
      <c r="F65" s="86"/>
      <c r="G65" s="86"/>
      <c r="H65" s="86"/>
      <c r="I65" s="86"/>
      <c r="J65" s="86"/>
      <c r="K65" s="86"/>
      <c r="L65" s="84">
        <f t="shared" si="1"/>
      </c>
      <c r="M65" s="84">
        <f t="shared" si="7"/>
      </c>
      <c r="N65" s="86"/>
      <c r="O65" s="84">
        <f t="shared" si="3"/>
      </c>
      <c r="P65" s="73">
        <f t="shared" si="4"/>
      </c>
      <c r="Q65" s="52">
        <f t="shared" si="8"/>
      </c>
      <c r="R65" s="56"/>
      <c r="S65" s="61">
        <f t="array" ref="S65">IF($B65="","",IF($R65&lt;&gt;"",IFERROR(INDEX('06_DS_Chinh_Thuc'!$K:$K,MATCH($R65,'06_DS_Chinh_Thuc'!$B:$B,0)),"Đang theo dõi"),"Đang theo dõi"))</f>
      </c>
      <c r="T65" s="83"/>
      <c r="U65" s="83"/>
      <c r="V65" s="83"/>
      <c r="W65" s="83"/>
      <c r="X65" s="83"/>
      <c r="Y65" s="83"/>
      <c r="Z65" s="83"/>
    </row>
    <row r="66" ht="14.25" customHeight="1" spans="1:26" x14ac:dyDescent="0.25">
      <c r="A66" s="84">
        <f t="shared" si="0"/>
      </c>
      <c r="B66" s="86"/>
      <c r="C66" s="84">
        <f t="array" ref="C66">IF(B66="","",IFERROR(INDEX('03_Ho_So_Nhan_Vien'!$E:$E,MATCH(B66,'03_Ho_So_Nhan_Vien'!$C:$C,0)),"Không tìm thấy Mã NV"))</f>
      </c>
      <c r="D66" s="85">
        <f t="array" ref="D66">IF(B66="","",IFERROR(INDEX('02_DS_Nhan_Viec'!$E:$E,MATCH(B66,'02_DS_Nhan_Viec'!$J:$J,0)),""))</f>
      </c>
      <c r="E66" s="86"/>
      <c r="F66" s="86"/>
      <c r="G66" s="86"/>
      <c r="H66" s="86"/>
      <c r="I66" s="86"/>
      <c r="J66" s="86"/>
      <c r="K66" s="86"/>
      <c r="L66" s="84">
        <f t="shared" si="1"/>
      </c>
      <c r="M66" s="84">
        <f t="shared" si="7"/>
      </c>
      <c r="N66" s="86"/>
      <c r="O66" s="84">
        <f t="shared" si="3"/>
      </c>
      <c r="P66" s="73">
        <f t="shared" si="4"/>
      </c>
      <c r="Q66" s="52">
        <f t="shared" si="8"/>
      </c>
      <c r="R66" s="56"/>
      <c r="S66" s="61">
        <f t="array" ref="S66">IF($B66="","",IF($R66&lt;&gt;"",IFERROR(INDEX('06_DS_Chinh_Thuc'!$K:$K,MATCH($R66,'06_DS_Chinh_Thuc'!$B:$B,0)),"Đang theo dõi"),"Đang theo dõi"))</f>
      </c>
      <c r="T66" s="83"/>
      <c r="U66" s="83"/>
      <c r="V66" s="83"/>
      <c r="W66" s="83"/>
      <c r="X66" s="83"/>
      <c r="Y66" s="83"/>
      <c r="Z66" s="83"/>
    </row>
    <row r="67" ht="14.25" customHeight="1" spans="1:26" x14ac:dyDescent="0.25">
      <c r="A67" s="84">
        <f t="shared" si="0"/>
      </c>
      <c r="B67" s="86"/>
      <c r="C67" s="84">
        <f t="array" ref="C67">IF(B67="","",IFERROR(INDEX('03_Ho_So_Nhan_Vien'!$E:$E,MATCH(B67,'03_Ho_So_Nhan_Vien'!$C:$C,0)),"Không tìm thấy Mã NV"))</f>
      </c>
      <c r="D67" s="85">
        <f t="array" ref="D67">IF(B67="","",IFERROR(INDEX('02_DS_Nhan_Viec'!$E:$E,MATCH(B67,'02_DS_Nhan_Viec'!$J:$J,0)),""))</f>
      </c>
      <c r="E67" s="86"/>
      <c r="F67" s="86"/>
      <c r="G67" s="86"/>
      <c r="H67" s="86"/>
      <c r="I67" s="86"/>
      <c r="J67" s="86"/>
      <c r="K67" s="86"/>
      <c r="L67" s="84">
        <f t="shared" si="1"/>
      </c>
      <c r="M67" s="84">
        <f t="shared" si="7"/>
      </c>
      <c r="N67" s="86"/>
      <c r="O67" s="84">
        <f t="shared" si="3"/>
      </c>
      <c r="P67" s="73">
        <f t="shared" si="4"/>
      </c>
      <c r="Q67" s="52">
        <f t="shared" si="8"/>
      </c>
      <c r="R67" s="56"/>
      <c r="S67" s="61">
        <f t="array" ref="S67">IF($B67="","",IF($R67&lt;&gt;"",IFERROR(INDEX('06_DS_Chinh_Thuc'!$K:$K,MATCH($R67,'06_DS_Chinh_Thuc'!$B:$B,0)),"Đang theo dõi"),"Đang theo dõi"))</f>
      </c>
      <c r="T67" s="83"/>
      <c r="U67" s="83"/>
      <c r="V67" s="83"/>
      <c r="W67" s="83"/>
      <c r="X67" s="83"/>
      <c r="Y67" s="83"/>
      <c r="Z67" s="83"/>
    </row>
    <row r="68" ht="14.25" customHeight="1" spans="1:26" x14ac:dyDescent="0.25">
      <c r="A68" s="84">
        <f t="shared" si="0"/>
      </c>
      <c r="B68" s="86"/>
      <c r="C68" s="84">
        <f t="array" ref="C68">IF(B68="","",IFERROR(INDEX('03_Ho_So_Nhan_Vien'!$E:$E,MATCH(B68,'03_Ho_So_Nhan_Vien'!$C:$C,0)),"Không tìm thấy Mã NV"))</f>
      </c>
      <c r="D68" s="85">
        <f t="array" ref="D68">IF(B68="","",IFERROR(INDEX('02_DS_Nhan_Viec'!$E:$E,MATCH(B68,'02_DS_Nhan_Viec'!$J:$J,0)),""))</f>
      </c>
      <c r="E68" s="86"/>
      <c r="F68" s="86"/>
      <c r="G68" s="86"/>
      <c r="H68" s="86"/>
      <c r="I68" s="86"/>
      <c r="J68" s="86"/>
      <c r="K68" s="86"/>
      <c r="L68" s="84">
        <f t="shared" si="1"/>
      </c>
      <c r="M68" s="84">
        <f t="shared" si="7"/>
      </c>
      <c r="N68" s="86"/>
      <c r="O68" s="84">
        <f t="shared" si="3"/>
      </c>
      <c r="P68" s="73">
        <f t="shared" si="4"/>
      </c>
      <c r="Q68" s="52">
        <f t="shared" si="8"/>
      </c>
      <c r="R68" s="56"/>
      <c r="S68" s="61">
        <f t="array" ref="S68">IF($B68="","",IF($R68&lt;&gt;"",IFERROR(INDEX('06_DS_Chinh_Thuc'!$K:$K,MATCH($R68,'06_DS_Chinh_Thuc'!$B:$B,0)),"Đang theo dõi"),"Đang theo dõi"))</f>
      </c>
      <c r="T68" s="83"/>
      <c r="U68" s="83"/>
      <c r="V68" s="83"/>
      <c r="W68" s="83"/>
      <c r="X68" s="83"/>
      <c r="Y68" s="83"/>
      <c r="Z68" s="83"/>
    </row>
    <row r="69" ht="14.25" customHeight="1" spans="1:26" x14ac:dyDescent="0.25">
      <c r="A69" s="84">
        <f t="shared" si="0"/>
      </c>
      <c r="B69" s="86"/>
      <c r="C69" s="84">
        <f t="array" ref="C69">IF(B69="","",IFERROR(INDEX('03_Ho_So_Nhan_Vien'!$E:$E,MATCH(B69,'03_Ho_So_Nhan_Vien'!$C:$C,0)),"Không tìm thấy Mã NV"))</f>
      </c>
      <c r="D69" s="85">
        <f t="array" ref="D69">IF(B69="","",IFERROR(INDEX('02_DS_Nhan_Viec'!$E:$E,MATCH(B69,'02_DS_Nhan_Viec'!$J:$J,0)),""))</f>
      </c>
      <c r="E69" s="86"/>
      <c r="F69" s="86"/>
      <c r="G69" s="86"/>
      <c r="H69" s="86"/>
      <c r="I69" s="86"/>
      <c r="J69" s="86"/>
      <c r="K69" s="86"/>
      <c r="L69" s="84">
        <f t="shared" si="1"/>
      </c>
      <c r="M69" s="84">
        <f t="shared" si="7"/>
      </c>
      <c r="N69" s="86"/>
      <c r="O69" s="84">
        <f t="shared" si="3"/>
      </c>
      <c r="P69" s="73">
        <f t="shared" si="4"/>
      </c>
      <c r="Q69" s="52">
        <f t="shared" si="8"/>
      </c>
      <c r="R69" s="56"/>
      <c r="S69" s="61">
        <f t="array" ref="S69">IF($B69="","",IF($R69&lt;&gt;"",IFERROR(INDEX('06_DS_Chinh_Thuc'!$K:$K,MATCH($R69,'06_DS_Chinh_Thuc'!$B:$B,0)),"Đang theo dõi"),"Đang theo dõi"))</f>
      </c>
      <c r="T69" s="83"/>
      <c r="U69" s="83"/>
      <c r="V69" s="83"/>
      <c r="W69" s="83"/>
      <c r="X69" s="83"/>
      <c r="Y69" s="83"/>
      <c r="Z69" s="83"/>
    </row>
    <row r="70" ht="14.25" customHeight="1" spans="1:26" x14ac:dyDescent="0.25">
      <c r="A70" s="84">
        <f t="shared" si="0"/>
      </c>
      <c r="B70" s="86"/>
      <c r="C70" s="84">
        <f t="array" ref="C70">IF(B70="","",IFERROR(INDEX('03_Ho_So_Nhan_Vien'!$E:$E,MATCH(B70,'03_Ho_So_Nhan_Vien'!$C:$C,0)),"Không tìm thấy Mã NV"))</f>
      </c>
      <c r="D70" s="85">
        <f t="array" ref="D70">IF(B70="","",IFERROR(INDEX('02_DS_Nhan_Viec'!$E:$E,MATCH(B70,'02_DS_Nhan_Viec'!$J:$J,0)),""))</f>
      </c>
      <c r="E70" s="86"/>
      <c r="F70" s="86"/>
      <c r="G70" s="86"/>
      <c r="H70" s="86"/>
      <c r="I70" s="86"/>
      <c r="J70" s="86"/>
      <c r="K70" s="86"/>
      <c r="L70" s="84">
        <f t="shared" si="1"/>
      </c>
      <c r="M70" s="84">
        <f t="shared" si="7"/>
      </c>
      <c r="N70" s="86"/>
      <c r="O70" s="84">
        <f t="shared" si="3"/>
      </c>
      <c r="P70" s="73">
        <f t="shared" si="4"/>
      </c>
      <c r="Q70" s="52">
        <f t="shared" si="8"/>
      </c>
      <c r="R70" s="56"/>
      <c r="S70" s="61">
        <f t="array" ref="S70">IF($B70="","",IF($R70&lt;&gt;"",IFERROR(INDEX('06_DS_Chinh_Thuc'!$K:$K,MATCH($R70,'06_DS_Chinh_Thuc'!$B:$B,0)),"Đang theo dõi"),"Đang theo dõi"))</f>
      </c>
      <c r="T70" s="83"/>
      <c r="U70" s="83"/>
      <c r="V70" s="83"/>
      <c r="W70" s="83"/>
      <c r="X70" s="83"/>
      <c r="Y70" s="83"/>
      <c r="Z70" s="83"/>
    </row>
    <row r="71" ht="14.25" customHeight="1" spans="1:26" x14ac:dyDescent="0.25">
      <c r="A71" s="84">
        <f t="shared" si="0"/>
      </c>
      <c r="B71" s="86"/>
      <c r="C71" s="84">
        <f t="array" ref="C71">IF(B71="","",IFERROR(INDEX('03_Ho_So_Nhan_Vien'!$E:$E,MATCH(B71,'03_Ho_So_Nhan_Vien'!$C:$C,0)),"Không tìm thấy Mã NV"))</f>
      </c>
      <c r="D71" s="85">
        <f t="array" ref="D71">IF(B71="","",IFERROR(INDEX('02_DS_Nhan_Viec'!$E:$E,MATCH(B71,'02_DS_Nhan_Viec'!$J:$J,0)),""))</f>
      </c>
      <c r="E71" s="86"/>
      <c r="F71" s="86"/>
      <c r="G71" s="86"/>
      <c r="H71" s="86"/>
      <c r="I71" s="86"/>
      <c r="J71" s="86"/>
      <c r="K71" s="86"/>
      <c r="L71" s="84">
        <f t="shared" si="1"/>
      </c>
      <c r="M71" s="84">
        <f t="shared" si="7"/>
      </c>
      <c r="N71" s="86"/>
      <c r="O71" s="84">
        <f t="shared" si="3"/>
      </c>
      <c r="P71" s="73">
        <f t="shared" si="4"/>
      </c>
      <c r="Q71" s="52">
        <f t="shared" si="8"/>
      </c>
      <c r="R71" s="56"/>
      <c r="S71" s="61">
        <f t="array" ref="S71">IF($B71="","",IF($R71&lt;&gt;"",IFERROR(INDEX('06_DS_Chinh_Thuc'!$K:$K,MATCH($R71,'06_DS_Chinh_Thuc'!$B:$B,0)),"Đang theo dõi"),"Đang theo dõi"))</f>
      </c>
      <c r="T71" s="83"/>
      <c r="U71" s="83"/>
      <c r="V71" s="83"/>
      <c r="W71" s="83"/>
      <c r="X71" s="83"/>
      <c r="Y71" s="83"/>
      <c r="Z71" s="83"/>
    </row>
    <row r="72" ht="14.25" customHeight="1" spans="1:26" x14ac:dyDescent="0.25">
      <c r="A72" s="84">
        <f t="shared" si="0"/>
      </c>
      <c r="B72" s="86"/>
      <c r="C72" s="84">
        <f t="array" ref="C72">IF(B72="","",IFERROR(INDEX('03_Ho_So_Nhan_Vien'!$E:$E,MATCH(B72,'03_Ho_So_Nhan_Vien'!$C:$C,0)),"Không tìm thấy Mã NV"))</f>
      </c>
      <c r="D72" s="85">
        <f t="array" ref="D72">IF(B72="","",IFERROR(INDEX('02_DS_Nhan_Viec'!$E:$E,MATCH(B72,'02_DS_Nhan_Viec'!$J:$J,0)),""))</f>
      </c>
      <c r="E72" s="86"/>
      <c r="F72" s="86"/>
      <c r="G72" s="86"/>
      <c r="H72" s="86"/>
      <c r="I72" s="86"/>
      <c r="J72" s="86"/>
      <c r="K72" s="86"/>
      <c r="L72" s="84">
        <f t="shared" si="1"/>
      </c>
      <c r="M72" s="84">
        <f t="shared" si="7"/>
      </c>
      <c r="N72" s="86"/>
      <c r="O72" s="84">
        <f t="shared" si="3"/>
      </c>
      <c r="P72" s="73">
        <f t="shared" si="4"/>
      </c>
      <c r="Q72" s="52">
        <f t="shared" si="8"/>
      </c>
      <c r="R72" s="56"/>
      <c r="S72" s="61">
        <f t="array" ref="S72">IF($B72="","",IF($R72&lt;&gt;"",IFERROR(INDEX('06_DS_Chinh_Thuc'!$K:$K,MATCH($R72,'06_DS_Chinh_Thuc'!$B:$B,0)),"Đang theo dõi"),"Đang theo dõi"))</f>
      </c>
      <c r="T72" s="83"/>
      <c r="U72" s="83"/>
      <c r="V72" s="83"/>
      <c r="W72" s="83"/>
      <c r="X72" s="83"/>
      <c r="Y72" s="83"/>
      <c r="Z72" s="83"/>
    </row>
    <row r="73" ht="14.25" customHeight="1" spans="1:26" x14ac:dyDescent="0.25">
      <c r="A73" s="84">
        <f t="shared" si="0"/>
      </c>
      <c r="B73" s="86"/>
      <c r="C73" s="84">
        <f t="array" ref="C73">IF(B73="","",IFERROR(INDEX('03_Ho_So_Nhan_Vien'!$E:$E,MATCH(B73,'03_Ho_So_Nhan_Vien'!$C:$C,0)),"Không tìm thấy Mã NV"))</f>
      </c>
      <c r="D73" s="85">
        <f t="array" ref="D73">IF(B73="","",IFERROR(INDEX('02_DS_Nhan_Viec'!$E:$E,MATCH(B73,'02_DS_Nhan_Viec'!$J:$J,0)),""))</f>
      </c>
      <c r="E73" s="86"/>
      <c r="F73" s="86"/>
      <c r="G73" s="86"/>
      <c r="H73" s="86"/>
      <c r="I73" s="86"/>
      <c r="J73" s="86"/>
      <c r="K73" s="86"/>
      <c r="L73" s="84">
        <f t="shared" si="1"/>
      </c>
      <c r="M73" s="84">
        <f t="shared" si="7"/>
      </c>
      <c r="N73" s="86"/>
      <c r="O73" s="84">
        <f t="shared" si="3"/>
      </c>
      <c r="P73" s="73">
        <f t="shared" si="4"/>
      </c>
      <c r="Q73" s="52">
        <f t="shared" si="8"/>
      </c>
      <c r="R73" s="56"/>
      <c r="S73" s="61">
        <f t="array" ref="S73">IF($B73="","",IF($R73&lt;&gt;"",IFERROR(INDEX('06_DS_Chinh_Thuc'!$K:$K,MATCH($R73,'06_DS_Chinh_Thuc'!$B:$B,0)),"Đang theo dõi"),"Đang theo dõi"))</f>
      </c>
      <c r="T73" s="83"/>
      <c r="U73" s="83"/>
      <c r="V73" s="83"/>
      <c r="W73" s="83"/>
      <c r="X73" s="83"/>
      <c r="Y73" s="83"/>
      <c r="Z73" s="83"/>
    </row>
    <row r="74" ht="14.25" customHeight="1" spans="1:26" x14ac:dyDescent="0.25">
      <c r="A74" s="84">
        <f t="shared" si="0"/>
      </c>
      <c r="B74" s="86"/>
      <c r="C74" s="84">
        <f t="array" ref="C74">IF(B74="","",IFERROR(INDEX('03_Ho_So_Nhan_Vien'!$E:$E,MATCH(B74,'03_Ho_So_Nhan_Vien'!$C:$C,0)),"Không tìm thấy Mã NV"))</f>
      </c>
      <c r="D74" s="85">
        <f t="array" ref="D74">IF(B74="","",IFERROR(INDEX('02_DS_Nhan_Viec'!$E:$E,MATCH(B74,'02_DS_Nhan_Viec'!$J:$J,0)),""))</f>
      </c>
      <c r="E74" s="86"/>
      <c r="F74" s="86"/>
      <c r="G74" s="86"/>
      <c r="H74" s="86"/>
      <c r="I74" s="86"/>
      <c r="J74" s="86"/>
      <c r="K74" s="86"/>
      <c r="L74" s="84">
        <f t="shared" si="1"/>
      </c>
      <c r="M74" s="84">
        <f t="shared" si="7"/>
      </c>
      <c r="N74" s="86"/>
      <c r="O74" s="84">
        <f t="shared" si="3"/>
      </c>
      <c r="P74" s="73">
        <f t="shared" si="4"/>
      </c>
      <c r="Q74" s="52">
        <f t="shared" si="8"/>
      </c>
      <c r="R74" s="56"/>
      <c r="S74" s="61">
        <f t="array" ref="S74">IF($B74="","",IF($R74&lt;&gt;"",IFERROR(INDEX('06_DS_Chinh_Thuc'!$K:$K,MATCH($R74,'06_DS_Chinh_Thuc'!$B:$B,0)),"Đang theo dõi"),"Đang theo dõi"))</f>
      </c>
      <c r="T74" s="83"/>
      <c r="U74" s="83"/>
      <c r="V74" s="83"/>
      <c r="W74" s="83"/>
      <c r="X74" s="83"/>
      <c r="Y74" s="83"/>
      <c r="Z74" s="83"/>
    </row>
    <row r="75" ht="14.25" customHeight="1" spans="1:26" x14ac:dyDescent="0.25">
      <c r="A75" s="84">
        <f t="shared" si="0"/>
      </c>
      <c r="B75" s="86"/>
      <c r="C75" s="84">
        <f t="array" ref="C75">IF(B75="","",IFERROR(INDEX('03_Ho_So_Nhan_Vien'!$E:$E,MATCH(B75,'03_Ho_So_Nhan_Vien'!$C:$C,0)),"Không tìm thấy Mã NV"))</f>
      </c>
      <c r="D75" s="85">
        <f t="array" ref="D75">IF(B75="","",IFERROR(INDEX('02_DS_Nhan_Viec'!$E:$E,MATCH(B75,'02_DS_Nhan_Viec'!$J:$J,0)),""))</f>
      </c>
      <c r="E75" s="86"/>
      <c r="F75" s="86"/>
      <c r="G75" s="86"/>
      <c r="H75" s="86"/>
      <c r="I75" s="86"/>
      <c r="J75" s="86"/>
      <c r="K75" s="86"/>
      <c r="L75" s="84">
        <f t="shared" si="1"/>
      </c>
      <c r="M75" s="84">
        <f t="shared" si="7"/>
      </c>
      <c r="N75" s="86"/>
      <c r="O75" s="84">
        <f t="shared" si="3"/>
      </c>
      <c r="P75" s="73">
        <f t="shared" si="4"/>
      </c>
      <c r="Q75" s="52">
        <f t="shared" si="8"/>
      </c>
      <c r="R75" s="56"/>
      <c r="S75" s="61">
        <f t="array" ref="S75">IF($B75="","",IF($R75&lt;&gt;"",IFERROR(INDEX('06_DS_Chinh_Thuc'!$K:$K,MATCH($R75,'06_DS_Chinh_Thuc'!$B:$B,0)),"Đang theo dõi"),"Đang theo dõi"))</f>
      </c>
      <c r="T75" s="83"/>
      <c r="U75" s="83"/>
      <c r="V75" s="83"/>
      <c r="W75" s="83"/>
      <c r="X75" s="83"/>
      <c r="Y75" s="83"/>
      <c r="Z75" s="83"/>
    </row>
    <row r="76" ht="14.25" customHeight="1" spans="1:26" x14ac:dyDescent="0.25">
      <c r="A76" s="84">
        <f t="shared" si="0"/>
      </c>
      <c r="B76" s="86"/>
      <c r="C76" s="84">
        <f t="array" ref="C76">IF(B76="","",IFERROR(INDEX('03_Ho_So_Nhan_Vien'!$E:$E,MATCH(B76,'03_Ho_So_Nhan_Vien'!$C:$C,0)),"Không tìm thấy Mã NV"))</f>
      </c>
      <c r="D76" s="85">
        <f t="array" ref="D76">IF(B76="","",IFERROR(INDEX('02_DS_Nhan_Viec'!$E:$E,MATCH(B76,'02_DS_Nhan_Viec'!$J:$J,0)),""))</f>
      </c>
      <c r="E76" s="86"/>
      <c r="F76" s="86"/>
      <c r="G76" s="86"/>
      <c r="H76" s="86"/>
      <c r="I76" s="86"/>
      <c r="J76" s="86"/>
      <c r="K76" s="86"/>
      <c r="L76" s="84">
        <f t="shared" si="1"/>
      </c>
      <c r="M76" s="84">
        <f t="shared" si="7"/>
      </c>
      <c r="N76" s="86"/>
      <c r="O76" s="84">
        <f t="shared" si="3"/>
      </c>
      <c r="P76" s="73">
        <f t="shared" si="4"/>
      </c>
      <c r="Q76" s="52">
        <f t="shared" si="8"/>
      </c>
      <c r="R76" s="56"/>
      <c r="S76" s="61">
        <f t="array" ref="S76">IF($B76="","",IF($R76&lt;&gt;"",IFERROR(INDEX('06_DS_Chinh_Thuc'!$K:$K,MATCH($R76,'06_DS_Chinh_Thuc'!$B:$B,0)),"Đang theo dõi"),"Đang theo dõi"))</f>
      </c>
      <c r="T76" s="83"/>
      <c r="U76" s="83"/>
      <c r="V76" s="83"/>
      <c r="W76" s="83"/>
      <c r="X76" s="83"/>
      <c r="Y76" s="83"/>
      <c r="Z76" s="83"/>
    </row>
    <row r="77" ht="14.25" customHeight="1" spans="1:26" x14ac:dyDescent="0.25">
      <c r="A77" s="84">
        <f t="shared" si="0"/>
      </c>
      <c r="B77" s="86"/>
      <c r="C77" s="84">
        <f t="array" ref="C77">IF(B77="","",IFERROR(INDEX('03_Ho_So_Nhan_Vien'!$E:$E,MATCH(B77,'03_Ho_So_Nhan_Vien'!$C:$C,0)),"Không tìm thấy Mã NV"))</f>
      </c>
      <c r="D77" s="85">
        <f t="array" ref="D77">IF(B77="","",IFERROR(INDEX('02_DS_Nhan_Viec'!$E:$E,MATCH(B77,'02_DS_Nhan_Viec'!$J:$J,0)),""))</f>
      </c>
      <c r="E77" s="86"/>
      <c r="F77" s="86"/>
      <c r="G77" s="86"/>
      <c r="H77" s="86"/>
      <c r="I77" s="86"/>
      <c r="J77" s="86"/>
      <c r="K77" s="86"/>
      <c r="L77" s="84">
        <f t="shared" si="1"/>
      </c>
      <c r="M77" s="84">
        <f t="shared" si="7"/>
      </c>
      <c r="N77" s="86"/>
      <c r="O77" s="84">
        <f t="shared" si="3"/>
      </c>
      <c r="P77" s="73">
        <f t="shared" si="4"/>
      </c>
      <c r="Q77" s="52">
        <f t="shared" si="8"/>
      </c>
      <c r="R77" s="56"/>
      <c r="S77" s="61">
        <f t="array" ref="S77">IF($B77="","",IF($R77&lt;&gt;"",IFERROR(INDEX('06_DS_Chinh_Thuc'!$K:$K,MATCH($R77,'06_DS_Chinh_Thuc'!$B:$B,0)),"Đang theo dõi"),"Đang theo dõi"))</f>
      </c>
      <c r="T77" s="83"/>
      <c r="U77" s="83"/>
      <c r="V77" s="83"/>
      <c r="W77" s="83"/>
      <c r="X77" s="83"/>
      <c r="Y77" s="83"/>
      <c r="Z77" s="83"/>
    </row>
    <row r="78" ht="14.25" customHeight="1" spans="1:26" x14ac:dyDescent="0.25">
      <c r="A78" s="84">
        <f t="shared" si="0"/>
      </c>
      <c r="B78" s="86"/>
      <c r="C78" s="84">
        <f t="array" ref="C78">IF(B78="","",IFERROR(INDEX('03_Ho_So_Nhan_Vien'!$E:$E,MATCH(B78,'03_Ho_So_Nhan_Vien'!$C:$C,0)),"Không tìm thấy Mã NV"))</f>
      </c>
      <c r="D78" s="85">
        <f t="array" ref="D78">IF(B78="","",IFERROR(INDEX('02_DS_Nhan_Viec'!$E:$E,MATCH(B78,'02_DS_Nhan_Viec'!$J:$J,0)),""))</f>
      </c>
      <c r="E78" s="86"/>
      <c r="F78" s="86"/>
      <c r="G78" s="86"/>
      <c r="H78" s="86"/>
      <c r="I78" s="86"/>
      <c r="J78" s="86"/>
      <c r="K78" s="86"/>
      <c r="L78" s="84">
        <f t="shared" si="1"/>
      </c>
      <c r="M78" s="84">
        <f t="shared" si="7"/>
      </c>
      <c r="N78" s="86"/>
      <c r="O78" s="84">
        <f t="shared" si="3"/>
      </c>
      <c r="P78" s="73">
        <f t="shared" si="4"/>
      </c>
      <c r="Q78" s="52">
        <f t="shared" si="8"/>
      </c>
      <c r="R78" s="56"/>
      <c r="S78" s="61">
        <f t="array" ref="S78">IF($B78="","",IF($R78&lt;&gt;"",IFERROR(INDEX('06_DS_Chinh_Thuc'!$K:$K,MATCH($R78,'06_DS_Chinh_Thuc'!$B:$B,0)),"Đang theo dõi"),"Đang theo dõi"))</f>
      </c>
      <c r="T78" s="83"/>
      <c r="U78" s="83"/>
      <c r="V78" s="83"/>
      <c r="W78" s="83"/>
      <c r="X78" s="83"/>
      <c r="Y78" s="83"/>
      <c r="Z78" s="83"/>
    </row>
    <row r="79" ht="14.25" customHeight="1" spans="1:26" x14ac:dyDescent="0.25">
      <c r="A79" s="84">
        <f t="shared" si="0"/>
      </c>
      <c r="B79" s="86"/>
      <c r="C79" s="84">
        <f t="array" ref="C79">IF(B79="","",IFERROR(INDEX('03_Ho_So_Nhan_Vien'!$E:$E,MATCH(B79,'03_Ho_So_Nhan_Vien'!$C:$C,0)),"Không tìm thấy Mã NV"))</f>
      </c>
      <c r="D79" s="85">
        <f t="array" ref="D79">IF(B79="","",IFERROR(INDEX('02_DS_Nhan_Viec'!$E:$E,MATCH(B79,'02_DS_Nhan_Viec'!$J:$J,0)),""))</f>
      </c>
      <c r="E79" s="86"/>
      <c r="F79" s="86"/>
      <c r="G79" s="86"/>
      <c r="H79" s="86"/>
      <c r="I79" s="86"/>
      <c r="J79" s="86"/>
      <c r="K79" s="86"/>
      <c r="L79" s="84">
        <f t="shared" si="1"/>
      </c>
      <c r="M79" s="84">
        <f t="shared" si="7"/>
      </c>
      <c r="N79" s="86"/>
      <c r="O79" s="84">
        <f t="shared" si="3"/>
      </c>
      <c r="P79" s="73">
        <f t="shared" si="4"/>
      </c>
      <c r="Q79" s="52">
        <f t="shared" si="8"/>
      </c>
      <c r="R79" s="56"/>
      <c r="S79" s="61">
        <f t="array" ref="S79">IF($B79="","",IF($R79&lt;&gt;"",IFERROR(INDEX('06_DS_Chinh_Thuc'!$K:$K,MATCH($R79,'06_DS_Chinh_Thuc'!$B:$B,0)),"Đang theo dõi"),"Đang theo dõi"))</f>
      </c>
      <c r="T79" s="83"/>
      <c r="U79" s="83"/>
      <c r="V79" s="83"/>
      <c r="W79" s="83"/>
      <c r="X79" s="83"/>
      <c r="Y79" s="83"/>
      <c r="Z79" s="83"/>
    </row>
    <row r="80" ht="14.25" customHeight="1" spans="1:26" x14ac:dyDescent="0.25">
      <c r="A80" s="84">
        <f t="shared" si="0"/>
      </c>
      <c r="B80" s="86"/>
      <c r="C80" s="84">
        <f t="array" ref="C80">IF(B80="","",IFERROR(INDEX('03_Ho_So_Nhan_Vien'!$E:$E,MATCH(B80,'03_Ho_So_Nhan_Vien'!$C:$C,0)),"Không tìm thấy Mã NV"))</f>
      </c>
      <c r="D80" s="85">
        <f t="array" ref="D80">IF(B80="","",IFERROR(INDEX('02_DS_Nhan_Viec'!$E:$E,MATCH(B80,'02_DS_Nhan_Viec'!$J:$J,0)),""))</f>
      </c>
      <c r="E80" s="86"/>
      <c r="F80" s="86"/>
      <c r="G80" s="86"/>
      <c r="H80" s="86"/>
      <c r="I80" s="86"/>
      <c r="J80" s="86"/>
      <c r="K80" s="86"/>
      <c r="L80" s="84">
        <f t="shared" si="1"/>
      </c>
      <c r="M80" s="84">
        <f t="shared" si="7"/>
      </c>
      <c r="N80" s="86"/>
      <c r="O80" s="84">
        <f t="shared" si="3"/>
      </c>
      <c r="P80" s="73">
        <f t="shared" si="4"/>
      </c>
      <c r="Q80" s="52">
        <f t="shared" si="8"/>
      </c>
      <c r="R80" s="56"/>
      <c r="S80" s="61">
        <f t="array" ref="S80">IF($B80="","",IF($R80&lt;&gt;"",IFERROR(INDEX('06_DS_Chinh_Thuc'!$K:$K,MATCH($R80,'06_DS_Chinh_Thuc'!$B:$B,0)),"Đang theo dõi"),"Đang theo dõi"))</f>
      </c>
      <c r="T80" s="83"/>
      <c r="U80" s="83"/>
      <c r="V80" s="83"/>
      <c r="W80" s="83"/>
      <c r="X80" s="83"/>
      <c r="Y80" s="83"/>
      <c r="Z80" s="83"/>
    </row>
    <row r="81" ht="14.25" customHeight="1" spans="1:26" x14ac:dyDescent="0.25">
      <c r="A81" s="84">
        <f t="shared" si="0"/>
      </c>
      <c r="B81" s="86"/>
      <c r="C81" s="84">
        <f t="array" ref="C81">IF(B81="","",IFERROR(INDEX('03_Ho_So_Nhan_Vien'!$E:$E,MATCH(B81,'03_Ho_So_Nhan_Vien'!$C:$C,0)),"Không tìm thấy Mã NV"))</f>
      </c>
      <c r="D81" s="85">
        <f t="array" ref="D81">IF(B81="","",IFERROR(INDEX('02_DS_Nhan_Viec'!$E:$E,MATCH(B81,'02_DS_Nhan_Viec'!$J:$J,0)),""))</f>
      </c>
      <c r="E81" s="86"/>
      <c r="F81" s="86"/>
      <c r="G81" s="86"/>
      <c r="H81" s="86"/>
      <c r="I81" s="86"/>
      <c r="J81" s="86"/>
      <c r="K81" s="86"/>
      <c r="L81" s="84">
        <f t="shared" si="1"/>
      </c>
      <c r="M81" s="84">
        <f t="shared" si="7"/>
      </c>
      <c r="N81" s="86"/>
      <c r="O81" s="84">
        <f t="shared" si="3"/>
      </c>
      <c r="P81" s="73">
        <f t="shared" si="4"/>
      </c>
      <c r="Q81" s="52">
        <f t="shared" si="8"/>
      </c>
      <c r="R81" s="56"/>
      <c r="S81" s="61">
        <f t="array" ref="S81">IF($B81="","",IF($R81&lt;&gt;"",IFERROR(INDEX('06_DS_Chinh_Thuc'!$K:$K,MATCH($R81,'06_DS_Chinh_Thuc'!$B:$B,0)),"Đang theo dõi"),"Đang theo dõi"))</f>
      </c>
      <c r="T81" s="83"/>
      <c r="U81" s="83"/>
      <c r="V81" s="83"/>
      <c r="W81" s="83"/>
      <c r="X81" s="83"/>
      <c r="Y81" s="83"/>
      <c r="Z81" s="83"/>
    </row>
    <row r="82" ht="14.25" customHeight="1" spans="1:26" x14ac:dyDescent="0.25">
      <c r="A82" s="84">
        <f t="shared" si="0"/>
      </c>
      <c r="B82" s="86"/>
      <c r="C82" s="84">
        <f t="array" ref="C82">IF(B82="","",IFERROR(INDEX('03_Ho_So_Nhan_Vien'!$E:$E,MATCH(B82,'03_Ho_So_Nhan_Vien'!$C:$C,0)),"Không tìm thấy Mã NV"))</f>
      </c>
      <c r="D82" s="85">
        <f t="array" ref="D82">IF(B82="","",IFERROR(INDEX('02_DS_Nhan_Viec'!$E:$E,MATCH(B82,'02_DS_Nhan_Viec'!$J:$J,0)),""))</f>
      </c>
      <c r="E82" s="86"/>
      <c r="F82" s="86"/>
      <c r="G82" s="86"/>
      <c r="H82" s="86"/>
      <c r="I82" s="86"/>
      <c r="J82" s="86"/>
      <c r="K82" s="86"/>
      <c r="L82" s="84">
        <f t="shared" si="1"/>
      </c>
      <c r="M82" s="84">
        <f t="shared" si="7"/>
      </c>
      <c r="N82" s="86"/>
      <c r="O82" s="84">
        <f t="shared" si="3"/>
      </c>
      <c r="P82" s="73">
        <f t="shared" si="4"/>
      </c>
      <c r="Q82" s="52">
        <f t="shared" si="8"/>
      </c>
      <c r="R82" s="56"/>
      <c r="S82" s="61">
        <f t="array" ref="S82">IF($B82="","",IF($R82&lt;&gt;"",IFERROR(INDEX('06_DS_Chinh_Thuc'!$K:$K,MATCH($R82,'06_DS_Chinh_Thuc'!$B:$B,0)),"Đang theo dõi"),"Đang theo dõi"))</f>
      </c>
      <c r="T82" s="83"/>
      <c r="U82" s="83"/>
      <c r="V82" s="83"/>
      <c r="W82" s="83"/>
      <c r="X82" s="83"/>
      <c r="Y82" s="83"/>
      <c r="Z82" s="83"/>
    </row>
    <row r="83" ht="14.25" customHeight="1" spans="1:26" x14ac:dyDescent="0.25">
      <c r="A83" s="84">
        <f t="shared" si="0"/>
      </c>
      <c r="B83" s="86"/>
      <c r="C83" s="84">
        <f t="array" ref="C83">IF(B83="","",IFERROR(INDEX('03_Ho_So_Nhan_Vien'!$E:$E,MATCH(B83,'03_Ho_So_Nhan_Vien'!$C:$C,0)),"Không tìm thấy Mã NV"))</f>
      </c>
      <c r="D83" s="85">
        <f t="array" ref="D83">IF(B83="","",IFERROR(INDEX('02_DS_Nhan_Viec'!$E:$E,MATCH(B83,'02_DS_Nhan_Viec'!$J:$J,0)),""))</f>
      </c>
      <c r="E83" s="86"/>
      <c r="F83" s="86"/>
      <c r="G83" s="86"/>
      <c r="H83" s="86"/>
      <c r="I83" s="86"/>
      <c r="J83" s="86"/>
      <c r="K83" s="86"/>
      <c r="L83" s="84">
        <f t="shared" si="1"/>
      </c>
      <c r="M83" s="84">
        <f t="shared" si="7"/>
      </c>
      <c r="N83" s="86"/>
      <c r="O83" s="84">
        <f t="shared" si="3"/>
      </c>
      <c r="P83" s="73">
        <f t="shared" si="4"/>
      </c>
      <c r="Q83" s="52">
        <f t="shared" si="8"/>
      </c>
      <c r="R83" s="56"/>
      <c r="S83" s="61">
        <f t="array" ref="S83">IF($B83="","",IF($R83&lt;&gt;"",IFERROR(INDEX('06_DS_Chinh_Thuc'!$K:$K,MATCH($R83,'06_DS_Chinh_Thuc'!$B:$B,0)),"Đang theo dõi"),"Đang theo dõi"))</f>
      </c>
      <c r="T83" s="83"/>
      <c r="U83" s="83"/>
      <c r="V83" s="83"/>
      <c r="W83" s="83"/>
      <c r="X83" s="83"/>
      <c r="Y83" s="83"/>
      <c r="Z83" s="83"/>
    </row>
    <row r="84" ht="14.25" customHeight="1" spans="1:26" x14ac:dyDescent="0.25">
      <c r="A84" s="84">
        <f t="shared" si="0"/>
      </c>
      <c r="B84" s="86"/>
      <c r="C84" s="84">
        <f t="array" ref="C84">IF(B84="","",IFERROR(INDEX('03_Ho_So_Nhan_Vien'!$E:$E,MATCH(B84,'03_Ho_So_Nhan_Vien'!$C:$C,0)),"Không tìm thấy Mã NV"))</f>
      </c>
      <c r="D84" s="85">
        <f t="array" ref="D84">IF(B84="","",IFERROR(INDEX('02_DS_Nhan_Viec'!$E:$E,MATCH(B84,'02_DS_Nhan_Viec'!$J:$J,0)),""))</f>
      </c>
      <c r="E84" s="86"/>
      <c r="F84" s="86"/>
      <c r="G84" s="86"/>
      <c r="H84" s="86"/>
      <c r="I84" s="86"/>
      <c r="J84" s="86"/>
      <c r="K84" s="86"/>
      <c r="L84" s="84">
        <f t="shared" si="1"/>
      </c>
      <c r="M84" s="84">
        <f t="shared" si="7"/>
      </c>
      <c r="N84" s="86"/>
      <c r="O84" s="84">
        <f t="shared" si="3"/>
      </c>
      <c r="P84" s="73">
        <f t="shared" si="4"/>
      </c>
      <c r="Q84" s="52">
        <f t="shared" si="8"/>
      </c>
      <c r="R84" s="56"/>
      <c r="S84" s="61">
        <f t="array" ref="S84">IF($B84="","",IF($R84&lt;&gt;"",IFERROR(INDEX('06_DS_Chinh_Thuc'!$K:$K,MATCH($R84,'06_DS_Chinh_Thuc'!$B:$B,0)),"Đang theo dõi"),"Đang theo dõi"))</f>
      </c>
      <c r="T84" s="83"/>
      <c r="U84" s="83"/>
      <c r="V84" s="83"/>
      <c r="W84" s="83"/>
      <c r="X84" s="83"/>
      <c r="Y84" s="83"/>
      <c r="Z84" s="83"/>
    </row>
    <row r="85" ht="14.25" customHeight="1" spans="1:26" x14ac:dyDescent="0.25">
      <c r="A85" s="84">
        <f t="shared" si="0"/>
      </c>
      <c r="B85" s="86"/>
      <c r="C85" s="84">
        <f t="array" ref="C85">IF(B85="","",IFERROR(INDEX('03_Ho_So_Nhan_Vien'!$E:$E,MATCH(B85,'03_Ho_So_Nhan_Vien'!$C:$C,0)),"Không tìm thấy Mã NV"))</f>
      </c>
      <c r="D85" s="85">
        <f t="array" ref="D85">IF(B85="","",IFERROR(INDEX('02_DS_Nhan_Viec'!$E:$E,MATCH(B85,'02_DS_Nhan_Viec'!$J:$J,0)),""))</f>
      </c>
      <c r="E85" s="86"/>
      <c r="F85" s="86"/>
      <c r="G85" s="86"/>
      <c r="H85" s="86"/>
      <c r="I85" s="86"/>
      <c r="J85" s="86"/>
      <c r="K85" s="86"/>
      <c r="L85" s="84">
        <f t="shared" si="1"/>
      </c>
      <c r="M85" s="84">
        <f t="shared" si="7"/>
      </c>
      <c r="N85" s="86"/>
      <c r="O85" s="84">
        <f t="shared" si="3"/>
      </c>
      <c r="P85" s="73">
        <f t="shared" si="4"/>
      </c>
      <c r="Q85" s="52">
        <f t="shared" si="8"/>
      </c>
      <c r="R85" s="56"/>
      <c r="S85" s="61">
        <f t="array" ref="S85">IF($B85="","",IF($R85&lt;&gt;"",IFERROR(INDEX('06_DS_Chinh_Thuc'!$K:$K,MATCH($R85,'06_DS_Chinh_Thuc'!$B:$B,0)),"Đang theo dõi"),"Đang theo dõi"))</f>
      </c>
      <c r="T85" s="83"/>
      <c r="U85" s="83"/>
      <c r="V85" s="83"/>
      <c r="W85" s="83"/>
      <c r="X85" s="83"/>
      <c r="Y85" s="83"/>
      <c r="Z85" s="83"/>
    </row>
    <row r="86" ht="14.25" customHeight="1" spans="1:26" x14ac:dyDescent="0.25">
      <c r="A86" s="84">
        <f t="shared" si="0"/>
      </c>
      <c r="B86" s="86"/>
      <c r="C86" s="84">
        <f t="array" ref="C86">IF(B86="","",IFERROR(INDEX('03_Ho_So_Nhan_Vien'!$E:$E,MATCH(B86,'03_Ho_So_Nhan_Vien'!$C:$C,0)),"Không tìm thấy Mã NV"))</f>
      </c>
      <c r="D86" s="85">
        <f t="array" ref="D86">IF(B86="","",IFERROR(INDEX('02_DS_Nhan_Viec'!$E:$E,MATCH(B86,'02_DS_Nhan_Viec'!$J:$J,0)),""))</f>
      </c>
      <c r="E86" s="86"/>
      <c r="F86" s="86"/>
      <c r="G86" s="86"/>
      <c r="H86" s="86"/>
      <c r="I86" s="86"/>
      <c r="J86" s="86"/>
      <c r="K86" s="86"/>
      <c r="L86" s="84">
        <f t="shared" si="1"/>
      </c>
      <c r="M86" s="84">
        <f t="shared" si="7"/>
      </c>
      <c r="N86" s="86"/>
      <c r="O86" s="84">
        <f t="shared" si="3"/>
      </c>
      <c r="P86" s="73">
        <f t="shared" si="4"/>
      </c>
      <c r="Q86" s="52">
        <f t="shared" si="8"/>
      </c>
      <c r="R86" s="56"/>
      <c r="S86" s="61">
        <f t="array" ref="S86">IF($B86="","",IF($R86&lt;&gt;"",IFERROR(INDEX('06_DS_Chinh_Thuc'!$K:$K,MATCH($R86,'06_DS_Chinh_Thuc'!$B:$B,0)),"Đang theo dõi"),"Đang theo dõi"))</f>
      </c>
      <c r="T86" s="83"/>
      <c r="U86" s="83"/>
      <c r="V86" s="83"/>
      <c r="W86" s="83"/>
      <c r="X86" s="83"/>
      <c r="Y86" s="83"/>
      <c r="Z86" s="83"/>
    </row>
    <row r="87" ht="14.25" customHeight="1" spans="1:26" x14ac:dyDescent="0.25">
      <c r="A87" s="84">
        <f t="shared" si="0"/>
      </c>
      <c r="B87" s="86"/>
      <c r="C87" s="84">
        <f t="array" ref="C87">IF(B87="","",IFERROR(INDEX('03_Ho_So_Nhan_Vien'!$E:$E,MATCH(B87,'03_Ho_So_Nhan_Vien'!$C:$C,0)),"Không tìm thấy Mã NV"))</f>
      </c>
      <c r="D87" s="85">
        <f t="array" ref="D87">IF(B87="","",IFERROR(INDEX('02_DS_Nhan_Viec'!$E:$E,MATCH(B87,'02_DS_Nhan_Viec'!$J:$J,0)),""))</f>
      </c>
      <c r="E87" s="86"/>
      <c r="F87" s="86"/>
      <c r="G87" s="86"/>
      <c r="H87" s="86"/>
      <c r="I87" s="86"/>
      <c r="J87" s="86"/>
      <c r="K87" s="86"/>
      <c r="L87" s="84">
        <f t="shared" si="1"/>
      </c>
      <c r="M87" s="84">
        <f t="shared" si="7"/>
      </c>
      <c r="N87" s="86"/>
      <c r="O87" s="84">
        <f t="shared" si="3"/>
      </c>
      <c r="P87" s="73">
        <f t="shared" si="4"/>
      </c>
      <c r="Q87" s="52">
        <f t="shared" si="8"/>
      </c>
      <c r="R87" s="56"/>
      <c r="S87" s="61">
        <f t="array" ref="S87">IF($B87="","",IF($R87&lt;&gt;"",IFERROR(INDEX('06_DS_Chinh_Thuc'!$K:$K,MATCH($R87,'06_DS_Chinh_Thuc'!$B:$B,0)),"Đang theo dõi"),"Đang theo dõi"))</f>
      </c>
      <c r="T87" s="83"/>
      <c r="U87" s="83"/>
      <c r="V87" s="83"/>
      <c r="W87" s="83"/>
      <c r="X87" s="83"/>
      <c r="Y87" s="83"/>
      <c r="Z87" s="83"/>
    </row>
    <row r="88" ht="14.25" customHeight="1" spans="1:26" x14ac:dyDescent="0.25">
      <c r="A88" s="84">
        <f t="shared" si="0"/>
      </c>
      <c r="B88" s="86"/>
      <c r="C88" s="84">
        <f t="array" ref="C88">IF(B88="","",IFERROR(INDEX('03_Ho_So_Nhan_Vien'!$E:$E,MATCH(B88,'03_Ho_So_Nhan_Vien'!$C:$C,0)),"Không tìm thấy Mã NV"))</f>
      </c>
      <c r="D88" s="85">
        <f t="array" ref="D88">IF(B88="","",IFERROR(INDEX('02_DS_Nhan_Viec'!$E:$E,MATCH(B88,'02_DS_Nhan_Viec'!$J:$J,0)),""))</f>
      </c>
      <c r="E88" s="86"/>
      <c r="F88" s="86"/>
      <c r="G88" s="86"/>
      <c r="H88" s="86"/>
      <c r="I88" s="86"/>
      <c r="J88" s="86"/>
      <c r="K88" s="86"/>
      <c r="L88" s="84">
        <f t="shared" si="1"/>
      </c>
      <c r="M88" s="84">
        <f t="shared" si="7"/>
      </c>
      <c r="N88" s="86"/>
      <c r="O88" s="84">
        <f t="shared" si="3"/>
      </c>
      <c r="P88" s="73">
        <f t="shared" si="4"/>
      </c>
      <c r="Q88" s="52">
        <f t="shared" si="8"/>
      </c>
      <c r="R88" s="56"/>
      <c r="S88" s="61">
        <f t="array" ref="S88">IF($B88="","",IF($R88&lt;&gt;"",IFERROR(INDEX('06_DS_Chinh_Thuc'!$K:$K,MATCH($R88,'06_DS_Chinh_Thuc'!$B:$B,0)),"Đang theo dõi"),"Đang theo dõi"))</f>
      </c>
      <c r="T88" s="83"/>
      <c r="U88" s="83"/>
      <c r="V88" s="83"/>
      <c r="W88" s="83"/>
      <c r="X88" s="83"/>
      <c r="Y88" s="83"/>
      <c r="Z88" s="83"/>
    </row>
    <row r="89" ht="14.25" customHeight="1" spans="1:26" x14ac:dyDescent="0.25">
      <c r="A89" s="84">
        <f t="shared" si="0"/>
      </c>
      <c r="B89" s="86"/>
      <c r="C89" s="84">
        <f t="array" ref="C89">IF(B89="","",IFERROR(INDEX('03_Ho_So_Nhan_Vien'!$E:$E,MATCH(B89,'03_Ho_So_Nhan_Vien'!$C:$C,0)),"Không tìm thấy Mã NV"))</f>
      </c>
      <c r="D89" s="85">
        <f t="array" ref="D89">IF(B89="","",IFERROR(INDEX('02_DS_Nhan_Viec'!$E:$E,MATCH(B89,'02_DS_Nhan_Viec'!$J:$J,0)),""))</f>
      </c>
      <c r="E89" s="86"/>
      <c r="F89" s="86"/>
      <c r="G89" s="86"/>
      <c r="H89" s="86"/>
      <c r="I89" s="86"/>
      <c r="J89" s="86"/>
      <c r="K89" s="86"/>
      <c r="L89" s="84">
        <f t="shared" si="1"/>
      </c>
      <c r="M89" s="84">
        <f t="shared" si="7"/>
      </c>
      <c r="N89" s="86"/>
      <c r="O89" s="84">
        <f t="shared" si="3"/>
      </c>
      <c r="P89" s="73">
        <f t="shared" si="4"/>
      </c>
      <c r="Q89" s="52">
        <f t="shared" si="8"/>
      </c>
      <c r="R89" s="56"/>
      <c r="S89" s="61">
        <f t="array" ref="S89">IF($B89="","",IF($R89&lt;&gt;"",IFERROR(INDEX('06_DS_Chinh_Thuc'!$K:$K,MATCH($R89,'06_DS_Chinh_Thuc'!$B:$B,0)),"Đang theo dõi"),"Đang theo dõi"))</f>
      </c>
      <c r="T89" s="83"/>
      <c r="U89" s="83"/>
      <c r="V89" s="83"/>
      <c r="W89" s="83"/>
      <c r="X89" s="83"/>
      <c r="Y89" s="83"/>
      <c r="Z89" s="83"/>
    </row>
    <row r="90" ht="14.25" customHeight="1" spans="1:26" x14ac:dyDescent="0.25">
      <c r="A90" s="84">
        <f t="shared" si="0"/>
      </c>
      <c r="B90" s="86"/>
      <c r="C90" s="84">
        <f t="array" ref="C90">IF(B90="","",IFERROR(INDEX('03_Ho_So_Nhan_Vien'!$E:$E,MATCH(B90,'03_Ho_So_Nhan_Vien'!$C:$C,0)),"Không tìm thấy Mã NV"))</f>
      </c>
      <c r="D90" s="85">
        <f t="array" ref="D90">IF(B90="","",IFERROR(INDEX('02_DS_Nhan_Viec'!$E:$E,MATCH(B90,'02_DS_Nhan_Viec'!$J:$J,0)),""))</f>
      </c>
      <c r="E90" s="86"/>
      <c r="F90" s="86"/>
      <c r="G90" s="86"/>
      <c r="H90" s="86"/>
      <c r="I90" s="86"/>
      <c r="J90" s="86"/>
      <c r="K90" s="86"/>
      <c r="L90" s="84">
        <f t="shared" si="1"/>
      </c>
      <c r="M90" s="84">
        <f t="shared" si="7"/>
      </c>
      <c r="N90" s="86"/>
      <c r="O90" s="84">
        <f t="shared" si="3"/>
      </c>
      <c r="P90" s="73">
        <f t="shared" si="4"/>
      </c>
      <c r="Q90" s="52">
        <f t="shared" si="8"/>
      </c>
      <c r="R90" s="56"/>
      <c r="S90" s="61">
        <f t="array" ref="S90">IF($B90="","",IF($R90&lt;&gt;"",IFERROR(INDEX('06_DS_Chinh_Thuc'!$K:$K,MATCH($R90,'06_DS_Chinh_Thuc'!$B:$B,0)),"Đang theo dõi"),"Đang theo dõi"))</f>
      </c>
      <c r="T90" s="83"/>
      <c r="U90" s="83"/>
      <c r="V90" s="83"/>
      <c r="W90" s="83"/>
      <c r="X90" s="83"/>
      <c r="Y90" s="83"/>
      <c r="Z90" s="83"/>
    </row>
    <row r="91" ht="14.25" customHeight="1" spans="1:26" x14ac:dyDescent="0.25">
      <c r="A91" s="84">
        <f t="shared" si="0"/>
      </c>
      <c r="B91" s="86"/>
      <c r="C91" s="84">
        <f t="array" ref="C91">IF(B91="","",IFERROR(INDEX('03_Ho_So_Nhan_Vien'!$E:$E,MATCH(B91,'03_Ho_So_Nhan_Vien'!$C:$C,0)),"Không tìm thấy Mã NV"))</f>
      </c>
      <c r="D91" s="85">
        <f t="array" ref="D91">IF(B91="","",IFERROR(INDEX('02_DS_Nhan_Viec'!$E:$E,MATCH(B91,'02_DS_Nhan_Viec'!$J:$J,0)),""))</f>
      </c>
      <c r="E91" s="86"/>
      <c r="F91" s="86"/>
      <c r="G91" s="86"/>
      <c r="H91" s="86"/>
      <c r="I91" s="86"/>
      <c r="J91" s="86"/>
      <c r="K91" s="86"/>
      <c r="L91" s="84">
        <f t="shared" si="1"/>
      </c>
      <c r="M91" s="84">
        <f t="shared" si="7"/>
      </c>
      <c r="N91" s="86"/>
      <c r="O91" s="84">
        <f t="shared" si="3"/>
      </c>
      <c r="P91" s="73">
        <f t="shared" si="4"/>
      </c>
      <c r="Q91" s="52">
        <f t="shared" si="8"/>
      </c>
      <c r="R91" s="56"/>
      <c r="S91" s="61">
        <f t="array" ref="S91">IF($B91="","",IF($R91&lt;&gt;"",IFERROR(INDEX('06_DS_Chinh_Thuc'!$K:$K,MATCH($R91,'06_DS_Chinh_Thuc'!$B:$B,0)),"Đang theo dõi"),"Đang theo dõi"))</f>
      </c>
      <c r="T91" s="83"/>
      <c r="U91" s="83"/>
      <c r="V91" s="83"/>
      <c r="W91" s="83"/>
      <c r="X91" s="83"/>
      <c r="Y91" s="83"/>
      <c r="Z91" s="83"/>
    </row>
    <row r="92" ht="14.25" customHeight="1" spans="1:26" x14ac:dyDescent="0.25">
      <c r="A92" s="84">
        <f t="shared" si="0"/>
      </c>
      <c r="B92" s="86"/>
      <c r="C92" s="84">
        <f t="array" ref="C92">IF(B92="","",IFERROR(INDEX('03_Ho_So_Nhan_Vien'!$E:$E,MATCH(B92,'03_Ho_So_Nhan_Vien'!$C:$C,0)),"Không tìm thấy Mã NV"))</f>
      </c>
      <c r="D92" s="85">
        <f t="array" ref="D92">IF(B92="","",IFERROR(INDEX('02_DS_Nhan_Viec'!$E:$E,MATCH(B92,'02_DS_Nhan_Viec'!$J:$J,0)),""))</f>
      </c>
      <c r="E92" s="86"/>
      <c r="F92" s="86"/>
      <c r="G92" s="86"/>
      <c r="H92" s="86"/>
      <c r="I92" s="86"/>
      <c r="J92" s="86"/>
      <c r="K92" s="86"/>
      <c r="L92" s="84">
        <f t="shared" si="1"/>
      </c>
      <c r="M92" s="84">
        <f t="shared" si="7"/>
      </c>
      <c r="N92" s="86"/>
      <c r="O92" s="84">
        <f t="shared" si="3"/>
      </c>
      <c r="P92" s="73">
        <f t="shared" si="4"/>
      </c>
      <c r="Q92" s="52">
        <f t="shared" si="8"/>
      </c>
      <c r="R92" s="56"/>
      <c r="S92" s="61">
        <f t="array" ref="S92">IF($B92="","",IF($R92&lt;&gt;"",IFERROR(INDEX('06_DS_Chinh_Thuc'!$K:$K,MATCH($R92,'06_DS_Chinh_Thuc'!$B:$B,0)),"Đang theo dõi"),"Đang theo dõi"))</f>
      </c>
      <c r="T92" s="83"/>
      <c r="U92" s="83"/>
      <c r="V92" s="83"/>
      <c r="W92" s="83"/>
      <c r="X92" s="83"/>
      <c r="Y92" s="83"/>
      <c r="Z92" s="83"/>
    </row>
    <row r="93" ht="14.25" customHeight="1" spans="1:26" x14ac:dyDescent="0.25">
      <c r="A93" s="84">
        <f t="shared" si="0"/>
      </c>
      <c r="B93" s="86"/>
      <c r="C93" s="84">
        <f t="array" ref="C93">IF(B93="","",IFERROR(INDEX('03_Ho_So_Nhan_Vien'!$E:$E,MATCH(B93,'03_Ho_So_Nhan_Vien'!$C:$C,0)),"Không tìm thấy Mã NV"))</f>
      </c>
      <c r="D93" s="85">
        <f t="array" ref="D93">IF(B93="","",IFERROR(INDEX('02_DS_Nhan_Viec'!$E:$E,MATCH(B93,'02_DS_Nhan_Viec'!$J:$J,0)),""))</f>
      </c>
      <c r="E93" s="86"/>
      <c r="F93" s="86"/>
      <c r="G93" s="86"/>
      <c r="H93" s="86"/>
      <c r="I93" s="86"/>
      <c r="J93" s="86"/>
      <c r="K93" s="86"/>
      <c r="L93" s="84">
        <f t="shared" si="1"/>
      </c>
      <c r="M93" s="84">
        <f t="shared" si="7"/>
      </c>
      <c r="N93" s="86"/>
      <c r="O93" s="84">
        <f t="shared" si="3"/>
      </c>
      <c r="P93" s="73">
        <f t="shared" si="4"/>
      </c>
      <c r="Q93" s="52">
        <f t="shared" si="8"/>
      </c>
      <c r="R93" s="56"/>
      <c r="S93" s="61">
        <f t="array" ref="S93">IF($B93="","",IF($R93&lt;&gt;"",IFERROR(INDEX('06_DS_Chinh_Thuc'!$K:$K,MATCH($R93,'06_DS_Chinh_Thuc'!$B:$B,0)),"Đang theo dõi"),"Đang theo dõi"))</f>
      </c>
      <c r="T93" s="83"/>
      <c r="U93" s="83"/>
      <c r="V93" s="83"/>
      <c r="W93" s="83"/>
      <c r="X93" s="83"/>
      <c r="Y93" s="83"/>
      <c r="Z93" s="83"/>
    </row>
    <row r="94" ht="14.25" customHeight="1" spans="1:26" x14ac:dyDescent="0.25">
      <c r="A94" s="84">
        <f t="shared" si="0"/>
      </c>
      <c r="B94" s="86"/>
      <c r="C94" s="84">
        <f t="array" ref="C94">IF(B94="","",IFERROR(INDEX('03_Ho_So_Nhan_Vien'!$E:$E,MATCH(B94,'03_Ho_So_Nhan_Vien'!$C:$C,0)),"Không tìm thấy Mã NV"))</f>
      </c>
      <c r="D94" s="85">
        <f t="array" ref="D94">IF(B94="","",IFERROR(INDEX('02_DS_Nhan_Viec'!$E:$E,MATCH(B94,'02_DS_Nhan_Viec'!$J:$J,0)),""))</f>
      </c>
      <c r="E94" s="86"/>
      <c r="F94" s="86"/>
      <c r="G94" s="86"/>
      <c r="H94" s="86"/>
      <c r="I94" s="86"/>
      <c r="J94" s="86"/>
      <c r="K94" s="86"/>
      <c r="L94" s="84">
        <f t="shared" si="1"/>
      </c>
      <c r="M94" s="84">
        <f t="shared" si="7"/>
      </c>
      <c r="N94" s="86"/>
      <c r="O94" s="84">
        <f t="shared" si="3"/>
      </c>
      <c r="P94" s="73">
        <f t="shared" si="4"/>
      </c>
      <c r="Q94" s="52">
        <f t="shared" si="8"/>
      </c>
      <c r="R94" s="56"/>
      <c r="S94" s="61">
        <f t="array" ref="S94">IF($B94="","",IF($R94&lt;&gt;"",IFERROR(INDEX('06_DS_Chinh_Thuc'!$K:$K,MATCH($R94,'06_DS_Chinh_Thuc'!$B:$B,0)),"Đang theo dõi"),"Đang theo dõi"))</f>
      </c>
      <c r="T94" s="83"/>
      <c r="U94" s="83"/>
      <c r="V94" s="83"/>
      <c r="W94" s="83"/>
      <c r="X94" s="83"/>
      <c r="Y94" s="83"/>
      <c r="Z94" s="83"/>
    </row>
    <row r="95" ht="14.25" customHeight="1" spans="1:26" x14ac:dyDescent="0.25">
      <c r="A95" s="84">
        <f t="shared" si="0"/>
      </c>
      <c r="B95" s="86"/>
      <c r="C95" s="84">
        <f t="array" ref="C95">IF(B95="","",IFERROR(INDEX('03_Ho_So_Nhan_Vien'!$E:$E,MATCH(B95,'03_Ho_So_Nhan_Vien'!$C:$C,0)),"Không tìm thấy Mã NV"))</f>
      </c>
      <c r="D95" s="85">
        <f t="array" ref="D95">IF(B95="","",IFERROR(INDEX('02_DS_Nhan_Viec'!$E:$E,MATCH(B95,'02_DS_Nhan_Viec'!$J:$J,0)),""))</f>
      </c>
      <c r="E95" s="86"/>
      <c r="F95" s="86"/>
      <c r="G95" s="86"/>
      <c r="H95" s="86"/>
      <c r="I95" s="86"/>
      <c r="J95" s="86"/>
      <c r="K95" s="86"/>
      <c r="L95" s="84">
        <f t="shared" si="1"/>
      </c>
      <c r="M95" s="84">
        <f t="shared" si="7"/>
      </c>
      <c r="N95" s="86"/>
      <c r="O95" s="84">
        <f t="shared" si="3"/>
      </c>
      <c r="P95" s="73">
        <f t="shared" si="4"/>
      </c>
      <c r="Q95" s="52">
        <f t="shared" si="8"/>
      </c>
      <c r="R95" s="56"/>
      <c r="S95" s="61">
        <f t="array" ref="S95">IF($B95="","",IF($R95&lt;&gt;"",IFERROR(INDEX('06_DS_Chinh_Thuc'!$K:$K,MATCH($R95,'06_DS_Chinh_Thuc'!$B:$B,0)),"Đang theo dõi"),"Đang theo dõi"))</f>
      </c>
      <c r="T95" s="83"/>
      <c r="U95" s="83"/>
      <c r="V95" s="83"/>
      <c r="W95" s="83"/>
      <c r="X95" s="83"/>
      <c r="Y95" s="83"/>
      <c r="Z95" s="83"/>
    </row>
    <row r="96" ht="14.25" customHeight="1" spans="1:26" x14ac:dyDescent="0.25">
      <c r="A96" s="84">
        <f t="shared" si="0"/>
      </c>
      <c r="B96" s="86"/>
      <c r="C96" s="84">
        <f t="array" ref="C96">IF(B96="","",IFERROR(INDEX('03_Ho_So_Nhan_Vien'!$E:$E,MATCH(B96,'03_Ho_So_Nhan_Vien'!$C:$C,0)),"Không tìm thấy Mã NV"))</f>
      </c>
      <c r="D96" s="85">
        <f t="array" ref="D96">IF(B96="","",IFERROR(INDEX('02_DS_Nhan_Viec'!$E:$E,MATCH(B96,'02_DS_Nhan_Viec'!$J:$J,0)),""))</f>
      </c>
      <c r="E96" s="86"/>
      <c r="F96" s="86"/>
      <c r="G96" s="86"/>
      <c r="H96" s="86"/>
      <c r="I96" s="86"/>
      <c r="J96" s="86"/>
      <c r="K96" s="86"/>
      <c r="L96" s="84">
        <f t="shared" si="1"/>
      </c>
      <c r="M96" s="84">
        <f t="shared" si="7"/>
      </c>
      <c r="N96" s="86"/>
      <c r="O96" s="84">
        <f t="shared" si="3"/>
      </c>
      <c r="P96" s="73">
        <f t="shared" si="4"/>
      </c>
      <c r="Q96" s="52">
        <f t="shared" si="8"/>
      </c>
      <c r="R96" s="56"/>
      <c r="S96" s="61">
        <f t="array" ref="S96">IF($B96="","",IF($R96&lt;&gt;"",IFERROR(INDEX('06_DS_Chinh_Thuc'!$K:$K,MATCH($R96,'06_DS_Chinh_Thuc'!$B:$B,0)),"Đang theo dõi"),"Đang theo dõi"))</f>
      </c>
      <c r="T96" s="83"/>
      <c r="U96" s="83"/>
      <c r="V96" s="83"/>
      <c r="W96" s="83"/>
      <c r="X96" s="83"/>
      <c r="Y96" s="83"/>
      <c r="Z96" s="83"/>
    </row>
    <row r="97" ht="14.25" customHeight="1" spans="1:26" x14ac:dyDescent="0.25">
      <c r="A97" s="84">
        <f t="shared" si="0"/>
      </c>
      <c r="B97" s="86"/>
      <c r="C97" s="84">
        <f t="array" ref="C97">IF(B97="","",IFERROR(INDEX('03_Ho_So_Nhan_Vien'!$E:$E,MATCH(B97,'03_Ho_So_Nhan_Vien'!$C:$C,0)),"Không tìm thấy Mã NV"))</f>
      </c>
      <c r="D97" s="85">
        <f t="array" ref="D97">IF(B97="","",IFERROR(INDEX('02_DS_Nhan_Viec'!$E:$E,MATCH(B97,'02_DS_Nhan_Viec'!$J:$J,0)),""))</f>
      </c>
      <c r="E97" s="86"/>
      <c r="F97" s="86"/>
      <c r="G97" s="86"/>
      <c r="H97" s="86"/>
      <c r="I97" s="86"/>
      <c r="J97" s="86"/>
      <c r="K97" s="86"/>
      <c r="L97" s="84">
        <f t="shared" si="1"/>
      </c>
      <c r="M97" s="84">
        <f t="shared" si="7"/>
      </c>
      <c r="N97" s="86"/>
      <c r="O97" s="84">
        <f t="shared" si="3"/>
      </c>
      <c r="P97" s="73">
        <f t="shared" si="4"/>
      </c>
      <c r="Q97" s="52">
        <f t="shared" si="8"/>
      </c>
      <c r="R97" s="56"/>
      <c r="S97" s="61">
        <f t="array" ref="S97">IF($B97="","",IF($R97&lt;&gt;"",IFERROR(INDEX('06_DS_Chinh_Thuc'!$K:$K,MATCH($R97,'06_DS_Chinh_Thuc'!$B:$B,0)),"Đang theo dõi"),"Đang theo dõi"))</f>
      </c>
      <c r="T97" s="83"/>
      <c r="U97" s="83"/>
      <c r="V97" s="83"/>
      <c r="W97" s="83"/>
      <c r="X97" s="83"/>
      <c r="Y97" s="83"/>
      <c r="Z97" s="83"/>
    </row>
    <row r="98" ht="14.25" customHeight="1" spans="1:26" x14ac:dyDescent="0.25">
      <c r="A98" s="84">
        <f t="shared" si="0"/>
      </c>
      <c r="B98" s="86"/>
      <c r="C98" s="84">
        <f t="array" ref="C98">IF(B98="","",IFERROR(INDEX('03_Ho_So_Nhan_Vien'!$E:$E,MATCH(B98,'03_Ho_So_Nhan_Vien'!$C:$C,0)),"Không tìm thấy Mã NV"))</f>
      </c>
      <c r="D98" s="85">
        <f t="array" ref="D98">IF(B98="","",IFERROR(INDEX('02_DS_Nhan_Viec'!$E:$E,MATCH(B98,'02_DS_Nhan_Viec'!$J:$J,0)),""))</f>
      </c>
      <c r="E98" s="86"/>
      <c r="F98" s="86"/>
      <c r="G98" s="86"/>
      <c r="H98" s="86"/>
      <c r="I98" s="86"/>
      <c r="J98" s="86"/>
      <c r="K98" s="86"/>
      <c r="L98" s="84">
        <f t="shared" si="1"/>
      </c>
      <c r="M98" s="84">
        <f t="shared" si="7"/>
      </c>
      <c r="N98" s="86"/>
      <c r="O98" s="84">
        <f t="shared" si="3"/>
      </c>
      <c r="P98" s="73">
        <f t="shared" si="4"/>
      </c>
      <c r="Q98" s="52">
        <f t="shared" si="8"/>
      </c>
      <c r="R98" s="56"/>
      <c r="S98" s="61">
        <f t="array" ref="S98">IF($B98="","",IF($R98&lt;&gt;"",IFERROR(INDEX('06_DS_Chinh_Thuc'!$K:$K,MATCH($R98,'06_DS_Chinh_Thuc'!$B:$B,0)),"Đang theo dõi"),"Đang theo dõi"))</f>
      </c>
      <c r="T98" s="83"/>
      <c r="U98" s="83"/>
      <c r="V98" s="83"/>
      <c r="W98" s="83"/>
      <c r="X98" s="83"/>
      <c r="Y98" s="83"/>
      <c r="Z98" s="83"/>
    </row>
    <row r="99" ht="14.25" customHeight="1" spans="1:26" x14ac:dyDescent="0.25">
      <c r="A99" s="84">
        <f t="shared" si="0"/>
      </c>
      <c r="B99" s="86"/>
      <c r="C99" s="84">
        <f t="array" ref="C99">IF(B99="","",IFERROR(INDEX('03_Ho_So_Nhan_Vien'!$E:$E,MATCH(B99,'03_Ho_So_Nhan_Vien'!$C:$C,0)),"Không tìm thấy Mã NV"))</f>
      </c>
      <c r="D99" s="85">
        <f t="array" ref="D99">IF(B99="","",IFERROR(INDEX('02_DS_Nhan_Viec'!$E:$E,MATCH(B99,'02_DS_Nhan_Viec'!$J:$J,0)),""))</f>
      </c>
      <c r="E99" s="86"/>
      <c r="F99" s="86"/>
      <c r="G99" s="86"/>
      <c r="H99" s="86"/>
      <c r="I99" s="86"/>
      <c r="J99" s="86"/>
      <c r="K99" s="86"/>
      <c r="L99" s="84">
        <f t="shared" si="1"/>
      </c>
      <c r="M99" s="84">
        <f t="shared" si="7"/>
      </c>
      <c r="N99" s="86"/>
      <c r="O99" s="84">
        <f t="shared" si="3"/>
      </c>
      <c r="P99" s="73">
        <f t="shared" si="4"/>
      </c>
      <c r="Q99" s="52">
        <f t="shared" si="8"/>
      </c>
      <c r="R99" s="56"/>
      <c r="S99" s="61">
        <f t="array" ref="S99">IF($B99="","",IF($R99&lt;&gt;"",IFERROR(INDEX('06_DS_Chinh_Thuc'!$K:$K,MATCH($R99,'06_DS_Chinh_Thuc'!$B:$B,0)),"Đang theo dõi"),"Đang theo dõi"))</f>
      </c>
      <c r="T99" s="83"/>
      <c r="U99" s="83"/>
      <c r="V99" s="83"/>
      <c r="W99" s="83"/>
      <c r="X99" s="83"/>
      <c r="Y99" s="83"/>
      <c r="Z99" s="83"/>
    </row>
    <row r="100" ht="14.25" customHeight="1" spans="1:26" x14ac:dyDescent="0.25">
      <c r="A100" s="84">
        <f t="shared" si="0"/>
      </c>
      <c r="B100" s="86"/>
      <c r="C100" s="84">
        <f t="array" ref="C100">IF(B100="","",IFERROR(INDEX('03_Ho_So_Nhan_Vien'!$E:$E,MATCH(B100,'03_Ho_So_Nhan_Vien'!$C:$C,0)),"Không tìm thấy Mã NV"))</f>
      </c>
      <c r="D100" s="85">
        <f t="array" ref="D100">IF(B100="","",IFERROR(INDEX('02_DS_Nhan_Viec'!$E:$E,MATCH(B100,'02_DS_Nhan_Viec'!$J:$J,0)),""))</f>
      </c>
      <c r="E100" s="86"/>
      <c r="F100" s="86"/>
      <c r="G100" s="86"/>
      <c r="H100" s="86"/>
      <c r="I100" s="86"/>
      <c r="J100" s="86"/>
      <c r="K100" s="86"/>
      <c r="L100" s="84">
        <f t="shared" si="1"/>
      </c>
      <c r="M100" s="84">
        <f t="shared" si="7"/>
      </c>
      <c r="N100" s="86"/>
      <c r="O100" s="84">
        <f t="shared" si="3"/>
      </c>
      <c r="P100" s="73">
        <f t="shared" si="4"/>
      </c>
      <c r="Q100" s="52">
        <f t="shared" si="8"/>
      </c>
      <c r="R100" s="56"/>
      <c r="S100" s="61">
        <f t="array" ref="S100">IF($B100="","",IF($R100&lt;&gt;"",IFERROR(INDEX('06_DS_Chinh_Thuc'!$K:$K,MATCH($R100,'06_DS_Chinh_Thuc'!$B:$B,0)),"Đang theo dõi"),"Đang theo dõi"))</f>
      </c>
      <c r="T100" s="83"/>
      <c r="U100" s="83"/>
      <c r="V100" s="83"/>
      <c r="W100" s="83"/>
      <c r="X100" s="83"/>
      <c r="Y100" s="83"/>
      <c r="Z100" s="83"/>
    </row>
    <row r="101" ht="14.25" customHeight="1" spans="1:26" x14ac:dyDescent="0.25">
      <c r="A101" s="84">
        <f t="shared" si="0"/>
      </c>
      <c r="B101" s="86"/>
      <c r="C101" s="84">
        <f t="array" ref="C101">IF(B101="","",IFERROR(INDEX('03_Ho_So_Nhan_Vien'!$E:$E,MATCH(B101,'03_Ho_So_Nhan_Vien'!$C:$C,0)),"Không tìm thấy Mã NV"))</f>
      </c>
      <c r="D101" s="85">
        <f t="array" ref="D101">IF(B101="","",IFERROR(INDEX('02_DS_Nhan_Viec'!$E:$E,MATCH(B101,'02_DS_Nhan_Viec'!$J:$J,0)),""))</f>
      </c>
      <c r="E101" s="86"/>
      <c r="F101" s="86"/>
      <c r="G101" s="86"/>
      <c r="H101" s="86"/>
      <c r="I101" s="86"/>
      <c r="J101" s="86"/>
      <c r="K101" s="86"/>
      <c r="L101" s="84">
        <f t="shared" si="1"/>
      </c>
      <c r="M101" s="84">
        <f t="shared" si="7"/>
      </c>
      <c r="N101" s="86"/>
      <c r="O101" s="84">
        <f t="shared" si="3"/>
      </c>
      <c r="P101" s="73">
        <f t="shared" si="4"/>
      </c>
      <c r="Q101" s="52">
        <f t="shared" si="8"/>
      </c>
      <c r="R101" s="56"/>
      <c r="S101" s="61">
        <f t="array" ref="S101">IF($B101="","",IF($R101&lt;&gt;"",IFERROR(INDEX('06_DS_Chinh_Thuc'!$K:$K,MATCH($R101,'06_DS_Chinh_Thuc'!$B:$B,0)),"Đang theo dõi"),"Đang theo dõi"))</f>
      </c>
      <c r="T101" s="83"/>
      <c r="U101" s="83"/>
      <c r="V101" s="83"/>
      <c r="W101" s="83"/>
      <c r="X101" s="83"/>
      <c r="Y101" s="83"/>
      <c r="Z101" s="83"/>
    </row>
    <row r="102" ht="14.25" customHeight="1" spans="1:26" x14ac:dyDescent="0.25">
      <c r="A102" s="84">
        <f t="shared" si="0"/>
      </c>
      <c r="B102" s="86"/>
      <c r="C102" s="84">
        <f t="array" ref="C102">IF(B102="","",IFERROR(INDEX('03_Ho_So_Nhan_Vien'!$E:$E,MATCH(B102,'03_Ho_So_Nhan_Vien'!$C:$C,0)),"Không tìm thấy Mã NV"))</f>
      </c>
      <c r="D102" s="85">
        <f t="array" ref="D102">IF(B102="","",IFERROR(INDEX('02_DS_Nhan_Viec'!$E:$E,MATCH(B102,'02_DS_Nhan_Viec'!$J:$J,0)),""))</f>
      </c>
      <c r="E102" s="86"/>
      <c r="F102" s="86"/>
      <c r="G102" s="86"/>
      <c r="H102" s="86"/>
      <c r="I102" s="86"/>
      <c r="J102" s="86"/>
      <c r="K102" s="86"/>
      <c r="L102" s="84">
        <f t="shared" si="1"/>
      </c>
      <c r="M102" s="84">
        <f t="shared" si="7"/>
      </c>
      <c r="N102" s="86"/>
      <c r="O102" s="84">
        <f t="shared" si="3"/>
      </c>
      <c r="P102" s="73">
        <f t="shared" si="4"/>
      </c>
      <c r="Q102" s="52">
        <f t="shared" si="8"/>
      </c>
      <c r="R102" s="56"/>
      <c r="S102" s="61">
        <f t="array" ref="S102">IF($B102="","",IF($R102&lt;&gt;"",IFERROR(INDEX('06_DS_Chinh_Thuc'!$K:$K,MATCH($R102,'06_DS_Chinh_Thuc'!$B:$B,0)),"Đang theo dõi"),"Đang theo dõi"))</f>
      </c>
      <c r="T102" s="83"/>
      <c r="U102" s="83"/>
      <c r="V102" s="83"/>
      <c r="W102" s="83"/>
      <c r="X102" s="83"/>
      <c r="Y102" s="83"/>
      <c r="Z102" s="83"/>
    </row>
    <row r="103" ht="14.25" customHeight="1" spans="1:26" x14ac:dyDescent="0.25">
      <c r="A103" s="84">
        <f t="shared" si="0"/>
      </c>
      <c r="B103" s="86"/>
      <c r="C103" s="84">
        <f t="array" ref="C103">IF(B103="","",IFERROR(INDEX('03_Ho_So_Nhan_Vien'!$E:$E,MATCH(B103,'03_Ho_So_Nhan_Vien'!$C:$C,0)),"Không tìm thấy Mã NV"))</f>
      </c>
      <c r="D103" s="85">
        <f t="array" ref="D103">IF(B103="","",IFERROR(INDEX('02_DS_Nhan_Viec'!$E:$E,MATCH(B103,'02_DS_Nhan_Viec'!$J:$J,0)),""))</f>
      </c>
      <c r="E103" s="86"/>
      <c r="F103" s="86"/>
      <c r="G103" s="86"/>
      <c r="H103" s="86"/>
      <c r="I103" s="86"/>
      <c r="J103" s="86"/>
      <c r="K103" s="86"/>
      <c r="L103" s="84">
        <f t="shared" si="1"/>
      </c>
      <c r="M103" s="84">
        <f t="shared" si="7"/>
      </c>
      <c r="N103" s="86"/>
      <c r="O103" s="84">
        <f t="shared" si="3"/>
      </c>
      <c r="P103" s="73">
        <f t="shared" si="4"/>
      </c>
      <c r="Q103" s="52">
        <f t="shared" si="8"/>
      </c>
      <c r="R103" s="56"/>
      <c r="S103" s="61">
        <f t="array" ref="S103">IF($B103="","",IF($R103&lt;&gt;"",IFERROR(INDEX('06_DS_Chinh_Thuc'!$K:$K,MATCH($R103,'06_DS_Chinh_Thuc'!$B:$B,0)),"Đang theo dõi"),"Đang theo dõi"))</f>
      </c>
      <c r="T103" s="83"/>
      <c r="U103" s="83"/>
      <c r="V103" s="83"/>
      <c r="W103" s="83"/>
      <c r="X103" s="83"/>
      <c r="Y103" s="83"/>
      <c r="Z103" s="83"/>
    </row>
    <row r="104" ht="14.25" customHeight="1" spans="1:26" x14ac:dyDescent="0.25">
      <c r="A104" s="84">
        <f t="shared" si="0"/>
      </c>
      <c r="B104" s="86"/>
      <c r="C104" s="84">
        <f t="array" ref="C104">IF(B104="","",IFERROR(INDEX('03_Ho_So_Nhan_Vien'!$E:$E,MATCH(B104,'03_Ho_So_Nhan_Vien'!$C:$C,0)),"Không tìm thấy Mã NV"))</f>
      </c>
      <c r="D104" s="85">
        <f t="array" ref="D104">IF(B104="","",IFERROR(INDEX('02_DS_Nhan_Viec'!$E:$E,MATCH(B104,'02_DS_Nhan_Viec'!$J:$J,0)),""))</f>
      </c>
      <c r="E104" s="86"/>
      <c r="F104" s="86"/>
      <c r="G104" s="86"/>
      <c r="H104" s="86"/>
      <c r="I104" s="86"/>
      <c r="J104" s="86"/>
      <c r="K104" s="86"/>
      <c r="L104" s="84">
        <f t="shared" si="1"/>
      </c>
      <c r="M104" s="84">
        <f t="shared" si="7"/>
      </c>
      <c r="N104" s="86"/>
      <c r="O104" s="84">
        <f t="shared" si="3"/>
      </c>
      <c r="P104" s="73">
        <f t="shared" si="4"/>
      </c>
      <c r="Q104" s="52">
        <f t="shared" si="8"/>
      </c>
      <c r="R104" s="56"/>
      <c r="S104" s="61">
        <f t="array" ref="S104">IF($B104="","",IF($R104&lt;&gt;"",IFERROR(INDEX('06_DS_Chinh_Thuc'!$K:$K,MATCH($R104,'06_DS_Chinh_Thuc'!$B:$B,0)),"Đang theo dõi"),"Đang theo dõi"))</f>
      </c>
      <c r="T104" s="83"/>
      <c r="U104" s="83"/>
      <c r="V104" s="83"/>
      <c r="W104" s="83"/>
      <c r="X104" s="83"/>
      <c r="Y104" s="83"/>
      <c r="Z104" s="83"/>
    </row>
    <row r="105" ht="14.25" customHeight="1" spans="1:26" x14ac:dyDescent="0.25">
      <c r="A105" s="84">
        <f t="shared" si="0"/>
      </c>
      <c r="B105" s="86"/>
      <c r="C105" s="84">
        <f t="array" ref="C105">IF(B105="","",IFERROR(INDEX('03_Ho_So_Nhan_Vien'!$E:$E,MATCH(B105,'03_Ho_So_Nhan_Vien'!$C:$C,0)),"Không tìm thấy Mã NV"))</f>
      </c>
      <c r="D105" s="85">
        <f t="array" ref="D105">IF(B105="","",IFERROR(INDEX('02_DS_Nhan_Viec'!$E:$E,MATCH(B105,'02_DS_Nhan_Viec'!$J:$J,0)),""))</f>
      </c>
      <c r="E105" s="86"/>
      <c r="F105" s="86"/>
      <c r="G105" s="86"/>
      <c r="H105" s="86"/>
      <c r="I105" s="86"/>
      <c r="J105" s="86"/>
      <c r="K105" s="86"/>
      <c r="L105" s="84">
        <f t="shared" si="1"/>
      </c>
      <c r="M105" s="84">
        <f t="shared" si="7"/>
      </c>
      <c r="N105" s="86"/>
      <c r="O105" s="84">
        <f t="shared" si="3"/>
      </c>
      <c r="P105" s="73">
        <f t="shared" si="4"/>
      </c>
      <c r="Q105" s="52">
        <f t="shared" si="8"/>
      </c>
      <c r="R105" s="56"/>
      <c r="S105" s="61">
        <f t="array" ref="S105">IF($B105="","",IF($R105&lt;&gt;"",IFERROR(INDEX('06_DS_Chinh_Thuc'!$K:$K,MATCH($R105,'06_DS_Chinh_Thuc'!$B:$B,0)),"Đang theo dõi"),"Đang theo dõi"))</f>
      </c>
      <c r="T105" s="83"/>
      <c r="U105" s="83"/>
      <c r="V105" s="83"/>
      <c r="W105" s="83"/>
      <c r="X105" s="83"/>
      <c r="Y105" s="83"/>
      <c r="Z105" s="83"/>
    </row>
    <row r="106" ht="14.25" customHeight="1" spans="1:26" x14ac:dyDescent="0.25">
      <c r="A106" s="84">
        <f t="shared" si="0"/>
      </c>
      <c r="B106" s="86"/>
      <c r="C106" s="84">
        <f t="array" ref="C106">IF(B106="","",IFERROR(INDEX('03_Ho_So_Nhan_Vien'!$E:$E,MATCH(B106,'03_Ho_So_Nhan_Vien'!$C:$C,0)),"Không tìm thấy Mã NV"))</f>
      </c>
      <c r="D106" s="85">
        <f t="array" ref="D106">IF(B106="","",IFERROR(INDEX('02_DS_Nhan_Viec'!$E:$E,MATCH(B106,'02_DS_Nhan_Viec'!$J:$J,0)),""))</f>
      </c>
      <c r="E106" s="86"/>
      <c r="F106" s="86"/>
      <c r="G106" s="86"/>
      <c r="H106" s="86"/>
      <c r="I106" s="86"/>
      <c r="J106" s="86"/>
      <c r="K106" s="86"/>
      <c r="L106" s="84">
        <f t="shared" si="1"/>
      </c>
      <c r="M106" s="84">
        <f t="shared" si="7"/>
      </c>
      <c r="N106" s="86"/>
      <c r="O106" s="84">
        <f t="shared" si="3"/>
      </c>
      <c r="P106" s="73">
        <f t="shared" si="4"/>
      </c>
      <c r="Q106" s="52">
        <f t="shared" si="8"/>
      </c>
      <c r="R106" s="56"/>
      <c r="S106" s="61">
        <f t="array" ref="S106">IF($B106="","",IF($R106&lt;&gt;"",IFERROR(INDEX('06_DS_Chinh_Thuc'!$K:$K,MATCH($R106,'06_DS_Chinh_Thuc'!$B:$B,0)),"Đang theo dõi"),"Đang theo dõi"))</f>
      </c>
      <c r="T106" s="83"/>
      <c r="U106" s="83"/>
      <c r="V106" s="83"/>
      <c r="W106" s="83"/>
      <c r="X106" s="83"/>
      <c r="Y106" s="83"/>
      <c r="Z106" s="83"/>
    </row>
    <row r="107" ht="14.25" customHeight="1" spans="1:26" x14ac:dyDescent="0.25">
      <c r="A107" s="84">
        <f t="shared" si="0"/>
      </c>
      <c r="B107" s="86"/>
      <c r="C107" s="84">
        <f t="array" ref="C107">IF(B107="","",IFERROR(INDEX('03_Ho_So_Nhan_Vien'!$E:$E,MATCH(B107,'03_Ho_So_Nhan_Vien'!$C:$C,0)),"Không tìm thấy Mã NV"))</f>
      </c>
      <c r="D107" s="85">
        <f t="array" ref="D107">IF(B107="","",IFERROR(INDEX('02_DS_Nhan_Viec'!$E:$E,MATCH(B107,'02_DS_Nhan_Viec'!$J:$J,0)),""))</f>
      </c>
      <c r="E107" s="86"/>
      <c r="F107" s="86"/>
      <c r="G107" s="86"/>
      <c r="H107" s="86"/>
      <c r="I107" s="86"/>
      <c r="J107" s="86"/>
      <c r="K107" s="86"/>
      <c r="L107" s="84">
        <f t="shared" si="1"/>
      </c>
      <c r="M107" s="84">
        <f t="shared" si="7"/>
      </c>
      <c r="N107" s="86"/>
      <c r="O107" s="84">
        <f t="shared" si="3"/>
      </c>
      <c r="P107" s="73">
        <f t="shared" si="4"/>
      </c>
      <c r="Q107" s="52">
        <f t="shared" si="8"/>
      </c>
      <c r="R107" s="56"/>
      <c r="S107" s="61">
        <f t="array" ref="S107">IF($B107="","",IF($R107&lt;&gt;"",IFERROR(INDEX('06_DS_Chinh_Thuc'!$K:$K,MATCH($R107,'06_DS_Chinh_Thuc'!$B:$B,0)),"Đang theo dõi"),"Đang theo dõi"))</f>
      </c>
      <c r="T107" s="83"/>
      <c r="U107" s="83"/>
      <c r="V107" s="83"/>
      <c r="W107" s="83"/>
      <c r="X107" s="83"/>
      <c r="Y107" s="83"/>
      <c r="Z107" s="83"/>
    </row>
    <row r="108" ht="14.25" customHeight="1" spans="1:26" x14ac:dyDescent="0.25">
      <c r="A108" s="84">
        <f t="shared" si="0"/>
      </c>
      <c r="B108" s="86"/>
      <c r="C108" s="84">
        <f t="array" ref="C108">IF(B108="","",IFERROR(INDEX('03_Ho_So_Nhan_Vien'!$E:$E,MATCH(B108,'03_Ho_So_Nhan_Vien'!$C:$C,0)),"Không tìm thấy Mã NV"))</f>
      </c>
      <c r="D108" s="85">
        <f t="array" ref="D108">IF(B108="","",IFERROR(INDEX('02_DS_Nhan_Viec'!$E:$E,MATCH(B108,'02_DS_Nhan_Viec'!$J:$J,0)),""))</f>
      </c>
      <c r="E108" s="86"/>
      <c r="F108" s="86"/>
      <c r="G108" s="86"/>
      <c r="H108" s="86"/>
      <c r="I108" s="86"/>
      <c r="J108" s="86"/>
      <c r="K108" s="86"/>
      <c r="L108" s="84">
        <f t="shared" si="1"/>
      </c>
      <c r="M108" s="84">
        <f t="shared" si="7"/>
      </c>
      <c r="N108" s="86"/>
      <c r="O108" s="84">
        <f t="shared" si="3"/>
      </c>
      <c r="P108" s="73">
        <f t="shared" si="4"/>
      </c>
      <c r="Q108" s="52">
        <f t="shared" si="8"/>
      </c>
      <c r="R108" s="56"/>
      <c r="S108" s="61">
        <f t="array" ref="S108">IF($B108="","",IF($R108&lt;&gt;"",IFERROR(INDEX('06_DS_Chinh_Thuc'!$K:$K,MATCH($R108,'06_DS_Chinh_Thuc'!$B:$B,0)),"Đang theo dõi"),"Đang theo dõi"))</f>
      </c>
      <c r="T108" s="83"/>
      <c r="U108" s="83"/>
      <c r="V108" s="83"/>
      <c r="W108" s="83"/>
      <c r="X108" s="83"/>
      <c r="Y108" s="83"/>
      <c r="Z108" s="83"/>
    </row>
    <row r="109" ht="14.25" customHeight="1" spans="1:26" x14ac:dyDescent="0.25">
      <c r="A109" s="84">
        <f t="shared" si="0"/>
      </c>
      <c r="B109" s="86"/>
      <c r="C109" s="84">
        <f t="array" ref="C109">IF(B109="","",IFERROR(INDEX('03_Ho_So_Nhan_Vien'!$E:$E,MATCH(B109,'03_Ho_So_Nhan_Vien'!$C:$C,0)),"Không tìm thấy Mã NV"))</f>
      </c>
      <c r="D109" s="85">
        <f t="array" ref="D109">IF(B109="","",IFERROR(INDEX('02_DS_Nhan_Viec'!$E:$E,MATCH(B109,'02_DS_Nhan_Viec'!$J:$J,0)),""))</f>
      </c>
      <c r="E109" s="86"/>
      <c r="F109" s="86"/>
      <c r="G109" s="86"/>
      <c r="H109" s="86"/>
      <c r="I109" s="86"/>
      <c r="J109" s="86"/>
      <c r="K109" s="86"/>
      <c r="L109" s="84">
        <f t="shared" si="1"/>
      </c>
      <c r="M109" s="84">
        <f t="shared" si="7"/>
      </c>
      <c r="N109" s="86"/>
      <c r="O109" s="84">
        <f t="shared" si="3"/>
      </c>
      <c r="P109" s="73">
        <f t="shared" si="4"/>
      </c>
      <c r="Q109" s="52">
        <f t="shared" si="8"/>
      </c>
      <c r="R109" s="56"/>
      <c r="S109" s="61">
        <f t="array" ref="S109">IF($B109="","",IF($R109&lt;&gt;"",IFERROR(INDEX('06_DS_Chinh_Thuc'!$K:$K,MATCH($R109,'06_DS_Chinh_Thuc'!$B:$B,0)),"Đang theo dõi"),"Đang theo dõi"))</f>
      </c>
      <c r="T109" s="83"/>
      <c r="U109" s="83"/>
      <c r="V109" s="83"/>
      <c r="W109" s="83"/>
      <c r="X109" s="83"/>
      <c r="Y109" s="83"/>
      <c r="Z109" s="83"/>
    </row>
    <row r="110" ht="14.25" customHeight="1" spans="1:26" x14ac:dyDescent="0.25">
      <c r="A110" s="84">
        <f t="shared" si="0"/>
      </c>
      <c r="B110" s="86"/>
      <c r="C110" s="84">
        <f t="array" ref="C110">IF(B110="","",IFERROR(INDEX('03_Ho_So_Nhan_Vien'!$E:$E,MATCH(B110,'03_Ho_So_Nhan_Vien'!$C:$C,0)),"Không tìm thấy Mã NV"))</f>
      </c>
      <c r="D110" s="85">
        <f t="array" ref="D110">IF(B110="","",IFERROR(INDEX('02_DS_Nhan_Viec'!$E:$E,MATCH(B110,'02_DS_Nhan_Viec'!$J:$J,0)),""))</f>
      </c>
      <c r="E110" s="86"/>
      <c r="F110" s="86"/>
      <c r="G110" s="86"/>
      <c r="H110" s="86"/>
      <c r="I110" s="86"/>
      <c r="J110" s="86"/>
      <c r="K110" s="86"/>
      <c r="L110" s="84">
        <f t="shared" si="1"/>
      </c>
      <c r="M110" s="84">
        <f t="shared" si="7"/>
      </c>
      <c r="N110" s="86"/>
      <c r="O110" s="84">
        <f t="shared" si="3"/>
      </c>
      <c r="P110" s="73">
        <f t="shared" si="4"/>
      </c>
      <c r="Q110" s="52">
        <f t="shared" si="8"/>
      </c>
      <c r="R110" s="56"/>
      <c r="S110" s="61">
        <f t="array" ref="S110">IF($B110="","",IF($R110&lt;&gt;"",IFERROR(INDEX('06_DS_Chinh_Thuc'!$K:$K,MATCH($R110,'06_DS_Chinh_Thuc'!$B:$B,0)),"Đang theo dõi"),"Đang theo dõi"))</f>
      </c>
      <c r="T110" s="83"/>
      <c r="U110" s="83"/>
      <c r="V110" s="83"/>
      <c r="W110" s="83"/>
      <c r="X110" s="83"/>
      <c r="Y110" s="83"/>
      <c r="Z110" s="83"/>
    </row>
    <row r="111" ht="14.25" customHeight="1" spans="1:26" x14ac:dyDescent="0.25">
      <c r="A111" s="84">
        <f t="shared" si="0"/>
      </c>
      <c r="B111" s="86"/>
      <c r="C111" s="84">
        <f t="array" ref="C111">IF(B111="","",IFERROR(INDEX('03_Ho_So_Nhan_Vien'!$E:$E,MATCH(B111,'03_Ho_So_Nhan_Vien'!$C:$C,0)),"Không tìm thấy Mã NV"))</f>
      </c>
      <c r="D111" s="85">
        <f t="array" ref="D111">IF(B111="","",IFERROR(INDEX('02_DS_Nhan_Viec'!$E:$E,MATCH(B111,'02_DS_Nhan_Viec'!$J:$J,0)),""))</f>
      </c>
      <c r="E111" s="86"/>
      <c r="F111" s="86"/>
      <c r="G111" s="86"/>
      <c r="H111" s="86"/>
      <c r="I111" s="86"/>
      <c r="J111" s="86"/>
      <c r="K111" s="86"/>
      <c r="L111" s="84">
        <f t="shared" si="1"/>
      </c>
      <c r="M111" s="84">
        <f t="shared" si="7"/>
      </c>
      <c r="N111" s="86"/>
      <c r="O111" s="84">
        <f t="shared" si="3"/>
      </c>
      <c r="P111" s="73">
        <f t="shared" si="4"/>
      </c>
      <c r="Q111" s="52">
        <f t="shared" si="8"/>
      </c>
      <c r="R111" s="56"/>
      <c r="S111" s="61">
        <f t="array" ref="S111">IF($B111="","",IF($R111&lt;&gt;"",IFERROR(INDEX('06_DS_Chinh_Thuc'!$K:$K,MATCH($R111,'06_DS_Chinh_Thuc'!$B:$B,0)),"Đang theo dõi"),"Đang theo dõi"))</f>
      </c>
      <c r="T111" s="83"/>
      <c r="U111" s="83"/>
      <c r="V111" s="83"/>
      <c r="W111" s="83"/>
      <c r="X111" s="83"/>
      <c r="Y111" s="83"/>
      <c r="Z111" s="83"/>
    </row>
    <row r="112" ht="14.25" customHeight="1" spans="1:26" x14ac:dyDescent="0.25">
      <c r="A112" s="84">
        <f t="shared" si="0"/>
      </c>
      <c r="B112" s="86"/>
      <c r="C112" s="84">
        <f t="array" ref="C112">IF(B112="","",IFERROR(INDEX('03_Ho_So_Nhan_Vien'!$E:$E,MATCH(B112,'03_Ho_So_Nhan_Vien'!$C:$C,0)),"Không tìm thấy Mã NV"))</f>
      </c>
      <c r="D112" s="85">
        <f t="array" ref="D112">IF(B112="","",IFERROR(INDEX('02_DS_Nhan_Viec'!$E:$E,MATCH(B112,'02_DS_Nhan_Viec'!$J:$J,0)),""))</f>
      </c>
      <c r="E112" s="86"/>
      <c r="F112" s="86"/>
      <c r="G112" s="86"/>
      <c r="H112" s="86"/>
      <c r="I112" s="86"/>
      <c r="J112" s="86"/>
      <c r="K112" s="86"/>
      <c r="L112" s="84">
        <f t="shared" si="1"/>
      </c>
      <c r="M112" s="84">
        <f t="shared" si="7"/>
      </c>
      <c r="N112" s="86"/>
      <c r="O112" s="84">
        <f t="shared" si="3"/>
      </c>
      <c r="P112" s="73">
        <f t="shared" si="4"/>
      </c>
      <c r="Q112" s="52">
        <f t="shared" si="8"/>
      </c>
      <c r="R112" s="56"/>
      <c r="S112" s="61">
        <f t="array" ref="S112">IF($B112="","",IF($R112&lt;&gt;"",IFERROR(INDEX('06_DS_Chinh_Thuc'!$K:$K,MATCH($R112,'06_DS_Chinh_Thuc'!$B:$B,0)),"Đang theo dõi"),"Đang theo dõi"))</f>
      </c>
      <c r="T112" s="83"/>
      <c r="U112" s="83"/>
      <c r="V112" s="83"/>
      <c r="W112" s="83"/>
      <c r="X112" s="83"/>
      <c r="Y112" s="83"/>
      <c r="Z112" s="83"/>
    </row>
    <row r="113" ht="14.25" customHeight="1" spans="1:26" x14ac:dyDescent="0.25">
      <c r="A113" s="84">
        <f t="shared" si="0"/>
      </c>
      <c r="B113" s="86"/>
      <c r="C113" s="84">
        <f t="array" ref="C113">IF(B113="","",IFERROR(INDEX('03_Ho_So_Nhan_Vien'!$E:$E,MATCH(B113,'03_Ho_So_Nhan_Vien'!$C:$C,0)),"Không tìm thấy Mã NV"))</f>
      </c>
      <c r="D113" s="85">
        <f t="array" ref="D113">IF(B113="","",IFERROR(INDEX('02_DS_Nhan_Viec'!$E:$E,MATCH(B113,'02_DS_Nhan_Viec'!$J:$J,0)),""))</f>
      </c>
      <c r="E113" s="86"/>
      <c r="F113" s="86"/>
      <c r="G113" s="86"/>
      <c r="H113" s="86"/>
      <c r="I113" s="86"/>
      <c r="J113" s="86"/>
      <c r="K113" s="86"/>
      <c r="L113" s="84">
        <f t="shared" si="1"/>
      </c>
      <c r="M113" s="84">
        <f t="shared" si="7"/>
      </c>
      <c r="N113" s="86"/>
      <c r="O113" s="84">
        <f t="shared" si="3"/>
      </c>
      <c r="P113" s="73">
        <f t="shared" si="4"/>
      </c>
      <c r="Q113" s="52">
        <f t="shared" si="8"/>
      </c>
      <c r="R113" s="56"/>
      <c r="S113" s="61">
        <f t="array" ref="S113">IF($B113="","",IF($R113&lt;&gt;"",IFERROR(INDEX('06_DS_Chinh_Thuc'!$K:$K,MATCH($R113,'06_DS_Chinh_Thuc'!$B:$B,0)),"Đang theo dõi"),"Đang theo dõi"))</f>
      </c>
      <c r="T113" s="83"/>
      <c r="U113" s="83"/>
      <c r="V113" s="83"/>
      <c r="W113" s="83"/>
      <c r="X113" s="83"/>
      <c r="Y113" s="83"/>
      <c r="Z113" s="83"/>
    </row>
    <row r="114" ht="14.25" customHeight="1" spans="1:26" x14ac:dyDescent="0.25">
      <c r="A114" s="84">
        <f t="shared" si="0"/>
      </c>
      <c r="B114" s="86"/>
      <c r="C114" s="84">
        <f t="array" ref="C114">IF(B114="","",IFERROR(INDEX('03_Ho_So_Nhan_Vien'!$E:$E,MATCH(B114,'03_Ho_So_Nhan_Vien'!$C:$C,0)),"Không tìm thấy Mã NV"))</f>
      </c>
      <c r="D114" s="85">
        <f t="array" ref="D114">IF(B114="","",IFERROR(INDEX('02_DS_Nhan_Viec'!$E:$E,MATCH(B114,'02_DS_Nhan_Viec'!$J:$J,0)),""))</f>
      </c>
      <c r="E114" s="86"/>
      <c r="F114" s="86"/>
      <c r="G114" s="86"/>
      <c r="H114" s="86"/>
      <c r="I114" s="86"/>
      <c r="J114" s="86"/>
      <c r="K114" s="86"/>
      <c r="L114" s="84">
        <f t="shared" si="1"/>
      </c>
      <c r="M114" s="84">
        <f t="shared" si="7"/>
      </c>
      <c r="N114" s="86"/>
      <c r="O114" s="84">
        <f t="shared" si="3"/>
      </c>
      <c r="P114" s="73">
        <f t="shared" si="4"/>
      </c>
      <c r="Q114" s="52">
        <f t="shared" si="8"/>
      </c>
      <c r="R114" s="56"/>
      <c r="S114" s="61">
        <f t="array" ref="S114">IF($B114="","",IF($R114&lt;&gt;"",IFERROR(INDEX('06_DS_Chinh_Thuc'!$K:$K,MATCH($R114,'06_DS_Chinh_Thuc'!$B:$B,0)),"Đang theo dõi"),"Đang theo dõi"))</f>
      </c>
      <c r="T114" s="83"/>
      <c r="U114" s="83"/>
      <c r="V114" s="83"/>
      <c r="W114" s="83"/>
      <c r="X114" s="83"/>
      <c r="Y114" s="83"/>
      <c r="Z114" s="83"/>
    </row>
    <row r="115" ht="14.25" customHeight="1" spans="1:26" x14ac:dyDescent="0.25">
      <c r="A115" s="84">
        <f t="shared" si="0"/>
      </c>
      <c r="B115" s="86"/>
      <c r="C115" s="84">
        <f t="array" ref="C115">IF(B115="","",IFERROR(INDEX('03_Ho_So_Nhan_Vien'!$E:$E,MATCH(B115,'03_Ho_So_Nhan_Vien'!$C:$C,0)),"Không tìm thấy Mã NV"))</f>
      </c>
      <c r="D115" s="85">
        <f t="array" ref="D115">IF(B115="","",IFERROR(INDEX('02_DS_Nhan_Viec'!$E:$E,MATCH(B115,'02_DS_Nhan_Viec'!$J:$J,0)),""))</f>
      </c>
      <c r="E115" s="86"/>
      <c r="F115" s="86"/>
      <c r="G115" s="86"/>
      <c r="H115" s="86"/>
      <c r="I115" s="86"/>
      <c r="J115" s="86"/>
      <c r="K115" s="86"/>
      <c r="L115" s="84">
        <f t="shared" si="1"/>
      </c>
      <c r="M115" s="84">
        <f t="shared" si="7"/>
      </c>
      <c r="N115" s="86"/>
      <c r="O115" s="84">
        <f t="shared" si="3"/>
      </c>
      <c r="P115" s="73">
        <f t="shared" si="4"/>
      </c>
      <c r="Q115" s="52">
        <f t="shared" si="8"/>
      </c>
      <c r="R115" s="56"/>
      <c r="S115" s="61">
        <f t="array" ref="S115">IF($B115="","",IF($R115&lt;&gt;"",IFERROR(INDEX('06_DS_Chinh_Thuc'!$K:$K,MATCH($R115,'06_DS_Chinh_Thuc'!$B:$B,0)),"Đang theo dõi"),"Đang theo dõi"))</f>
      </c>
      <c r="T115" s="83"/>
      <c r="U115" s="83"/>
      <c r="V115" s="83"/>
      <c r="W115" s="83"/>
      <c r="X115" s="83"/>
      <c r="Y115" s="83"/>
      <c r="Z115" s="83"/>
    </row>
    <row r="116" ht="14.25" customHeight="1" spans="1:26" x14ac:dyDescent="0.25">
      <c r="A116" s="84">
        <f t="shared" si="0"/>
      </c>
      <c r="B116" s="86"/>
      <c r="C116" s="84">
        <f t="array" ref="C116">IF(B116="","",IFERROR(INDEX('03_Ho_So_Nhan_Vien'!$E:$E,MATCH(B116,'03_Ho_So_Nhan_Vien'!$C:$C,0)),"Không tìm thấy Mã NV"))</f>
      </c>
      <c r="D116" s="85">
        <f t="array" ref="D116">IF(B116="","",IFERROR(INDEX('02_DS_Nhan_Viec'!$E:$E,MATCH(B116,'02_DS_Nhan_Viec'!$J:$J,0)),""))</f>
      </c>
      <c r="E116" s="86"/>
      <c r="F116" s="86"/>
      <c r="G116" s="86"/>
      <c r="H116" s="86"/>
      <c r="I116" s="86"/>
      <c r="J116" s="86"/>
      <c r="K116" s="86"/>
      <c r="L116" s="84">
        <f t="shared" si="1"/>
      </c>
      <c r="M116" s="84">
        <f t="shared" si="7"/>
      </c>
      <c r="N116" s="86"/>
      <c r="O116" s="84">
        <f t="shared" si="3"/>
      </c>
      <c r="P116" s="73">
        <f t="shared" si="4"/>
      </c>
      <c r="Q116" s="52">
        <f t="shared" si="8"/>
      </c>
      <c r="R116" s="56"/>
      <c r="S116" s="61">
        <f t="array" ref="S116">IF($B116="","",IF($R116&lt;&gt;"",IFERROR(INDEX('06_DS_Chinh_Thuc'!$K:$K,MATCH($R116,'06_DS_Chinh_Thuc'!$B:$B,0)),"Đang theo dõi"),"Đang theo dõi"))</f>
      </c>
      <c r="T116" s="83"/>
      <c r="U116" s="83"/>
      <c r="V116" s="83"/>
      <c r="W116" s="83"/>
      <c r="X116" s="83"/>
      <c r="Y116" s="83"/>
      <c r="Z116" s="83"/>
    </row>
    <row r="117" ht="14.25" customHeight="1" spans="1:26" x14ac:dyDescent="0.25">
      <c r="A117" s="84">
        <f t="shared" si="0"/>
      </c>
      <c r="B117" s="86"/>
      <c r="C117" s="84">
        <f t="array" ref="C117">IF(B117="","",IFERROR(INDEX('03_Ho_So_Nhan_Vien'!$E:$E,MATCH(B117,'03_Ho_So_Nhan_Vien'!$C:$C,0)),"Không tìm thấy Mã NV"))</f>
      </c>
      <c r="D117" s="85">
        <f t="array" ref="D117">IF(B117="","",IFERROR(INDEX('02_DS_Nhan_Viec'!$E:$E,MATCH(B117,'02_DS_Nhan_Viec'!$J:$J,0)),""))</f>
      </c>
      <c r="E117" s="86"/>
      <c r="F117" s="86"/>
      <c r="G117" s="86"/>
      <c r="H117" s="86"/>
      <c r="I117" s="86"/>
      <c r="J117" s="86"/>
      <c r="K117" s="86"/>
      <c r="L117" s="84">
        <f t="shared" si="1"/>
      </c>
      <c r="M117" s="84">
        <f t="shared" si="7"/>
      </c>
      <c r="N117" s="86"/>
      <c r="O117" s="84">
        <f t="shared" si="3"/>
      </c>
      <c r="P117" s="73">
        <f t="shared" si="4"/>
      </c>
      <c r="Q117" s="52">
        <f t="shared" si="8"/>
      </c>
      <c r="R117" s="56"/>
      <c r="S117" s="61">
        <f t="array" ref="S117">IF($B117="","",IF($R117&lt;&gt;"",IFERROR(INDEX('06_DS_Chinh_Thuc'!$K:$K,MATCH($R117,'06_DS_Chinh_Thuc'!$B:$B,0)),"Đang theo dõi"),"Đang theo dõi"))</f>
      </c>
      <c r="T117" s="83"/>
      <c r="U117" s="83"/>
      <c r="V117" s="83"/>
      <c r="W117" s="83"/>
      <c r="X117" s="83"/>
      <c r="Y117" s="83"/>
      <c r="Z117" s="83"/>
    </row>
    <row r="118" ht="14.25" customHeight="1" spans="1:26" x14ac:dyDescent="0.25">
      <c r="A118" s="84">
        <f t="shared" si="0"/>
      </c>
      <c r="B118" s="86"/>
      <c r="C118" s="84">
        <f t="array" ref="C118">IF(B118="","",IFERROR(INDEX('03_Ho_So_Nhan_Vien'!$E:$E,MATCH(B118,'03_Ho_So_Nhan_Vien'!$C:$C,0)),"Không tìm thấy Mã NV"))</f>
      </c>
      <c r="D118" s="85">
        <f t="array" ref="D118">IF(B118="","",IFERROR(INDEX('02_DS_Nhan_Viec'!$E:$E,MATCH(B118,'02_DS_Nhan_Viec'!$J:$J,0)),""))</f>
      </c>
      <c r="E118" s="86"/>
      <c r="F118" s="86"/>
      <c r="G118" s="86"/>
      <c r="H118" s="86"/>
      <c r="I118" s="86"/>
      <c r="J118" s="86"/>
      <c r="K118" s="86"/>
      <c r="L118" s="84">
        <f t="shared" si="1"/>
      </c>
      <c r="M118" s="84">
        <f t="shared" si="7"/>
      </c>
      <c r="N118" s="86"/>
      <c r="O118" s="84">
        <f t="shared" si="3"/>
      </c>
      <c r="P118" s="73">
        <f t="shared" si="4"/>
      </c>
      <c r="Q118" s="52">
        <f t="shared" si="8"/>
      </c>
      <c r="R118" s="56"/>
      <c r="S118" s="61">
        <f t="array" ref="S118">IF($B118="","",IF($R118&lt;&gt;"",IFERROR(INDEX('06_DS_Chinh_Thuc'!$K:$K,MATCH($R118,'06_DS_Chinh_Thuc'!$B:$B,0)),"Đang theo dõi"),"Đang theo dõi"))</f>
      </c>
      <c r="T118" s="83"/>
      <c r="U118" s="83"/>
      <c r="V118" s="83"/>
      <c r="W118" s="83"/>
      <c r="X118" s="83"/>
      <c r="Y118" s="83"/>
      <c r="Z118" s="83"/>
    </row>
    <row r="119" ht="14.25" customHeight="1" spans="1:26" x14ac:dyDescent="0.25">
      <c r="A119" s="84">
        <f t="shared" si="0"/>
      </c>
      <c r="B119" s="86"/>
      <c r="C119" s="84">
        <f t="array" ref="C119">IF(B119="","",IFERROR(INDEX('03_Ho_So_Nhan_Vien'!$E:$E,MATCH(B119,'03_Ho_So_Nhan_Vien'!$C:$C,0)),"Không tìm thấy Mã NV"))</f>
      </c>
      <c r="D119" s="85">
        <f t="array" ref="D119">IF(B119="","",IFERROR(INDEX('02_DS_Nhan_Viec'!$E:$E,MATCH(B119,'02_DS_Nhan_Viec'!$J:$J,0)),""))</f>
      </c>
      <c r="E119" s="86"/>
      <c r="F119" s="86"/>
      <c r="G119" s="86"/>
      <c r="H119" s="86"/>
      <c r="I119" s="86"/>
      <c r="J119" s="86"/>
      <c r="K119" s="86"/>
      <c r="L119" s="84">
        <f t="shared" si="1"/>
      </c>
      <c r="M119" s="84">
        <f t="shared" si="7"/>
      </c>
      <c r="N119" s="86"/>
      <c r="O119" s="84">
        <f t="shared" si="3"/>
      </c>
      <c r="P119" s="73">
        <f t="shared" si="4"/>
      </c>
      <c r="Q119" s="52">
        <f t="shared" si="8"/>
      </c>
      <c r="R119" s="56"/>
      <c r="S119" s="61">
        <f t="array" ref="S119">IF($B119="","",IF($R119&lt;&gt;"",IFERROR(INDEX('06_DS_Chinh_Thuc'!$K:$K,MATCH($R119,'06_DS_Chinh_Thuc'!$B:$B,0)),"Đang theo dõi"),"Đang theo dõi"))</f>
      </c>
      <c r="T119" s="83"/>
      <c r="U119" s="83"/>
      <c r="V119" s="83"/>
      <c r="W119" s="83"/>
      <c r="X119" s="83"/>
      <c r="Y119" s="83"/>
      <c r="Z119" s="83"/>
    </row>
    <row r="120" ht="14.25" customHeight="1" spans="1:26" x14ac:dyDescent="0.25">
      <c r="A120" s="84">
        <f t="shared" si="0"/>
      </c>
      <c r="B120" s="86"/>
      <c r="C120" s="84">
        <f t="array" ref="C120">IF(B120="","",IFERROR(INDEX('03_Ho_So_Nhan_Vien'!$E:$E,MATCH(B120,'03_Ho_So_Nhan_Vien'!$C:$C,0)),"Không tìm thấy Mã NV"))</f>
      </c>
      <c r="D120" s="85">
        <f t="array" ref="D120">IF(B120="","",IFERROR(INDEX('02_DS_Nhan_Viec'!$E:$E,MATCH(B120,'02_DS_Nhan_Viec'!$J:$J,0)),""))</f>
      </c>
      <c r="E120" s="86"/>
      <c r="F120" s="86"/>
      <c r="G120" s="86"/>
      <c r="H120" s="86"/>
      <c r="I120" s="86"/>
      <c r="J120" s="86"/>
      <c r="K120" s="86"/>
      <c r="L120" s="84">
        <f t="shared" si="1"/>
      </c>
      <c r="M120" s="84">
        <f t="shared" si="7"/>
      </c>
      <c r="N120" s="86"/>
      <c r="O120" s="84">
        <f t="shared" si="3"/>
      </c>
      <c r="P120" s="73">
        <f t="shared" si="4"/>
      </c>
      <c r="Q120" s="52">
        <f t="shared" si="8"/>
      </c>
      <c r="R120" s="56"/>
      <c r="S120" s="61">
        <f t="array" ref="S120">IF($B120="","",IF($R120&lt;&gt;"",IFERROR(INDEX('06_DS_Chinh_Thuc'!$K:$K,MATCH($R120,'06_DS_Chinh_Thuc'!$B:$B,0)),"Đang theo dõi"),"Đang theo dõi"))</f>
      </c>
      <c r="T120" s="83"/>
      <c r="U120" s="83"/>
      <c r="V120" s="83"/>
      <c r="W120" s="83"/>
      <c r="X120" s="83"/>
      <c r="Y120" s="83"/>
      <c r="Z120" s="83"/>
    </row>
    <row r="121" ht="14.25" customHeight="1" spans="1:26" x14ac:dyDescent="0.25">
      <c r="A121" s="84">
        <f t="shared" si="0"/>
      </c>
      <c r="B121" s="86"/>
      <c r="C121" s="84">
        <f t="array" ref="C121">IF(B121="","",IFERROR(INDEX('03_Ho_So_Nhan_Vien'!$E:$E,MATCH(B121,'03_Ho_So_Nhan_Vien'!$C:$C,0)),"Không tìm thấy Mã NV"))</f>
      </c>
      <c r="D121" s="85">
        <f t="array" ref="D121">IF(B121="","",IFERROR(INDEX('02_DS_Nhan_Viec'!$E:$E,MATCH(B121,'02_DS_Nhan_Viec'!$J:$J,0)),""))</f>
      </c>
      <c r="E121" s="86"/>
      <c r="F121" s="86"/>
      <c r="G121" s="86"/>
      <c r="H121" s="86"/>
      <c r="I121" s="86"/>
      <c r="J121" s="86"/>
      <c r="K121" s="86"/>
      <c r="L121" s="84">
        <f t="shared" si="1"/>
      </c>
      <c r="M121" s="84">
        <f t="shared" si="7"/>
      </c>
      <c r="N121" s="86"/>
      <c r="O121" s="84">
        <f t="shared" si="3"/>
      </c>
      <c r="P121" s="73">
        <f t="shared" si="4"/>
      </c>
      <c r="Q121" s="52">
        <f t="shared" si="8"/>
      </c>
      <c r="R121" s="56"/>
      <c r="S121" s="61">
        <f t="array" ref="S121">IF($B121="","",IF($R121&lt;&gt;"",IFERROR(INDEX('06_DS_Chinh_Thuc'!$K:$K,MATCH($R121,'06_DS_Chinh_Thuc'!$B:$B,0)),"Đang theo dõi"),"Đang theo dõi"))</f>
      </c>
      <c r="T121" s="83"/>
      <c r="U121" s="83"/>
      <c r="V121" s="83"/>
      <c r="W121" s="83"/>
      <c r="X121" s="83"/>
      <c r="Y121" s="83"/>
      <c r="Z121" s="83"/>
    </row>
    <row r="122" ht="14.25" customHeight="1" spans="1:26" x14ac:dyDescent="0.25">
      <c r="A122" s="84">
        <f t="shared" si="0"/>
      </c>
      <c r="B122" s="86"/>
      <c r="C122" s="84">
        <f t="array" ref="C122">IF(B122="","",IFERROR(INDEX('03_Ho_So_Nhan_Vien'!$E:$E,MATCH(B122,'03_Ho_So_Nhan_Vien'!$C:$C,0)),"Không tìm thấy Mã NV"))</f>
      </c>
      <c r="D122" s="85">
        <f t="array" ref="D122">IF(B122="","",IFERROR(INDEX('02_DS_Nhan_Viec'!$E:$E,MATCH(B122,'02_DS_Nhan_Viec'!$J:$J,0)),""))</f>
      </c>
      <c r="E122" s="86"/>
      <c r="F122" s="86"/>
      <c r="G122" s="86"/>
      <c r="H122" s="86"/>
      <c r="I122" s="86"/>
      <c r="J122" s="86"/>
      <c r="K122" s="86"/>
      <c r="L122" s="84">
        <f t="shared" si="1"/>
      </c>
      <c r="M122" s="84">
        <f t="shared" si="7"/>
      </c>
      <c r="N122" s="86"/>
      <c r="O122" s="84">
        <f t="shared" si="3"/>
      </c>
      <c r="P122" s="73">
        <f t="shared" si="4"/>
      </c>
      <c r="Q122" s="52">
        <f t="shared" si="8"/>
      </c>
      <c r="R122" s="56"/>
      <c r="S122" s="61">
        <f t="array" ref="S122">IF($B122="","",IF($R122&lt;&gt;"",IFERROR(INDEX('06_DS_Chinh_Thuc'!$K:$K,MATCH($R122,'06_DS_Chinh_Thuc'!$B:$B,0)),"Đang theo dõi"),"Đang theo dõi"))</f>
      </c>
      <c r="T122" s="83"/>
      <c r="U122" s="83"/>
      <c r="V122" s="83"/>
      <c r="W122" s="83"/>
      <c r="X122" s="83"/>
      <c r="Y122" s="83"/>
      <c r="Z122" s="83"/>
    </row>
    <row r="123" ht="14.25" customHeight="1" spans="1:26" x14ac:dyDescent="0.25">
      <c r="A123" s="84">
        <f t="shared" si="0"/>
      </c>
      <c r="B123" s="86"/>
      <c r="C123" s="84">
        <f t="array" ref="C123">IF(B123="","",IFERROR(INDEX('03_Ho_So_Nhan_Vien'!$E:$E,MATCH(B123,'03_Ho_So_Nhan_Vien'!$C:$C,0)),"Không tìm thấy Mã NV"))</f>
      </c>
      <c r="D123" s="85">
        <f t="array" ref="D123">IF(B123="","",IFERROR(INDEX('02_DS_Nhan_Viec'!$E:$E,MATCH(B123,'02_DS_Nhan_Viec'!$J:$J,0)),""))</f>
      </c>
      <c r="E123" s="86"/>
      <c r="F123" s="86"/>
      <c r="G123" s="86"/>
      <c r="H123" s="86"/>
      <c r="I123" s="86"/>
      <c r="J123" s="86"/>
      <c r="K123" s="86"/>
      <c r="L123" s="84">
        <f t="shared" si="1"/>
      </c>
      <c r="M123" s="84">
        <f t="shared" si="7"/>
      </c>
      <c r="N123" s="86"/>
      <c r="O123" s="84">
        <f t="shared" si="3"/>
      </c>
      <c r="P123" s="73">
        <f t="shared" si="4"/>
      </c>
      <c r="Q123" s="52">
        <f t="shared" si="8"/>
      </c>
      <c r="R123" s="56"/>
      <c r="S123" s="61">
        <f t="array" ref="S123">IF($B123="","",IF($R123&lt;&gt;"",IFERROR(INDEX('06_DS_Chinh_Thuc'!$K:$K,MATCH($R123,'06_DS_Chinh_Thuc'!$B:$B,0)),"Đang theo dõi"),"Đang theo dõi"))</f>
      </c>
      <c r="T123" s="83"/>
      <c r="U123" s="83"/>
      <c r="V123" s="83"/>
      <c r="W123" s="83"/>
      <c r="X123" s="83"/>
      <c r="Y123" s="83"/>
      <c r="Z123" s="83"/>
    </row>
    <row r="124" ht="14.25" customHeight="1" spans="1:26" x14ac:dyDescent="0.25">
      <c r="A124" s="84">
        <f t="shared" si="0"/>
      </c>
      <c r="B124" s="86"/>
      <c r="C124" s="84">
        <f t="array" ref="C124">IF(B124="","",IFERROR(INDEX('03_Ho_So_Nhan_Vien'!$E:$E,MATCH(B124,'03_Ho_So_Nhan_Vien'!$C:$C,0)),"Không tìm thấy Mã NV"))</f>
      </c>
      <c r="D124" s="85">
        <f t="array" ref="D124">IF(B124="","",IFERROR(INDEX('02_DS_Nhan_Viec'!$E:$E,MATCH(B124,'02_DS_Nhan_Viec'!$J:$J,0)),""))</f>
      </c>
      <c r="E124" s="86"/>
      <c r="F124" s="86"/>
      <c r="G124" s="86"/>
      <c r="H124" s="86"/>
      <c r="I124" s="86"/>
      <c r="J124" s="86"/>
      <c r="K124" s="86"/>
      <c r="L124" s="84">
        <f t="shared" si="1"/>
      </c>
      <c r="M124" s="84">
        <f t="shared" si="7"/>
      </c>
      <c r="N124" s="86"/>
      <c r="O124" s="84">
        <f t="shared" si="3"/>
      </c>
      <c r="P124" s="73">
        <f t="shared" si="4"/>
      </c>
      <c r="Q124" s="52">
        <f t="shared" si="8"/>
      </c>
      <c r="R124" s="56"/>
      <c r="S124" s="61">
        <f t="array" ref="S124">IF($B124="","",IF($R124&lt;&gt;"",IFERROR(INDEX('06_DS_Chinh_Thuc'!$K:$K,MATCH($R124,'06_DS_Chinh_Thuc'!$B:$B,0)),"Đang theo dõi"),"Đang theo dõi"))</f>
      </c>
      <c r="T124" s="83"/>
      <c r="U124" s="83"/>
      <c r="V124" s="83"/>
      <c r="W124" s="83"/>
      <c r="X124" s="83"/>
      <c r="Y124" s="83"/>
      <c r="Z124" s="83"/>
    </row>
    <row r="125" ht="14.25" customHeight="1" spans="1:26" x14ac:dyDescent="0.25">
      <c r="A125" s="84">
        <f t="shared" si="0"/>
      </c>
      <c r="B125" s="86"/>
      <c r="C125" s="84">
        <f t="array" ref="C125">IF(B125="","",IFERROR(INDEX('03_Ho_So_Nhan_Vien'!$E:$E,MATCH(B125,'03_Ho_So_Nhan_Vien'!$C:$C,0)),"Không tìm thấy Mã NV"))</f>
      </c>
      <c r="D125" s="85">
        <f t="array" ref="D125">IF(B125="","",IFERROR(INDEX('02_DS_Nhan_Viec'!$E:$E,MATCH(B125,'02_DS_Nhan_Viec'!$J:$J,0)),""))</f>
      </c>
      <c r="E125" s="86"/>
      <c r="F125" s="86"/>
      <c r="G125" s="86"/>
      <c r="H125" s="86"/>
      <c r="I125" s="86"/>
      <c r="J125" s="86"/>
      <c r="K125" s="86"/>
      <c r="L125" s="84">
        <f t="shared" si="1"/>
      </c>
      <c r="M125" s="84">
        <f t="shared" si="7"/>
      </c>
      <c r="N125" s="86"/>
      <c r="O125" s="84">
        <f t="shared" si="3"/>
      </c>
      <c r="P125" s="73">
        <f t="shared" si="4"/>
      </c>
      <c r="Q125" s="52">
        <f t="shared" si="8"/>
      </c>
      <c r="R125" s="56"/>
      <c r="S125" s="61">
        <f t="array" ref="S125">IF($B125="","",IF($R125&lt;&gt;"",IFERROR(INDEX('06_DS_Chinh_Thuc'!$K:$K,MATCH($R125,'06_DS_Chinh_Thuc'!$B:$B,0)),"Đang theo dõi"),"Đang theo dõi"))</f>
      </c>
      <c r="T125" s="83"/>
      <c r="U125" s="83"/>
      <c r="V125" s="83"/>
      <c r="W125" s="83"/>
      <c r="X125" s="83"/>
      <c r="Y125" s="83"/>
      <c r="Z125" s="83"/>
    </row>
    <row r="126" ht="14.25" customHeight="1" spans="1:26" x14ac:dyDescent="0.25">
      <c r="A126" s="84">
        <f t="shared" si="0"/>
      </c>
      <c r="B126" s="86"/>
      <c r="C126" s="84">
        <f t="array" ref="C126">IF(B126="","",IFERROR(INDEX('03_Ho_So_Nhan_Vien'!$E:$E,MATCH(B126,'03_Ho_So_Nhan_Vien'!$C:$C,0)),"Không tìm thấy Mã NV"))</f>
      </c>
      <c r="D126" s="85">
        <f t="array" ref="D126">IF(B126="","",IFERROR(INDEX('02_DS_Nhan_Viec'!$E:$E,MATCH(B126,'02_DS_Nhan_Viec'!$J:$J,0)),""))</f>
      </c>
      <c r="E126" s="86"/>
      <c r="F126" s="86"/>
      <c r="G126" s="86"/>
      <c r="H126" s="86"/>
      <c r="I126" s="86"/>
      <c r="J126" s="86"/>
      <c r="K126" s="86"/>
      <c r="L126" s="84">
        <f t="shared" si="1"/>
      </c>
      <c r="M126" s="84">
        <f t="shared" si="7"/>
      </c>
      <c r="N126" s="86"/>
      <c r="O126" s="84">
        <f t="shared" si="3"/>
      </c>
      <c r="P126" s="73">
        <f t="shared" si="4"/>
      </c>
      <c r="Q126" s="52">
        <f t="shared" si="8"/>
      </c>
      <c r="R126" s="56"/>
      <c r="S126" s="61">
        <f t="array" ref="S126">IF($B126="","",IF($R126&lt;&gt;"",IFERROR(INDEX('06_DS_Chinh_Thuc'!$K:$K,MATCH($R126,'06_DS_Chinh_Thuc'!$B:$B,0)),"Đang theo dõi"),"Đang theo dõi"))</f>
      </c>
      <c r="T126" s="83"/>
      <c r="U126" s="83"/>
      <c r="V126" s="83"/>
      <c r="W126" s="83"/>
      <c r="X126" s="83"/>
      <c r="Y126" s="83"/>
      <c r="Z126" s="83"/>
    </row>
    <row r="127" ht="14.25" customHeight="1" spans="1:26" x14ac:dyDescent="0.25">
      <c r="A127" s="84">
        <f t="shared" si="0"/>
      </c>
      <c r="B127" s="86"/>
      <c r="C127" s="84">
        <f t="array" ref="C127">IF(B127="","",IFERROR(INDEX('03_Ho_So_Nhan_Vien'!$E:$E,MATCH(B127,'03_Ho_So_Nhan_Vien'!$C:$C,0)),"Không tìm thấy Mã NV"))</f>
      </c>
      <c r="D127" s="85">
        <f t="array" ref="D127">IF(B127="","",IFERROR(INDEX('02_DS_Nhan_Viec'!$E:$E,MATCH(B127,'02_DS_Nhan_Viec'!$J:$J,0)),""))</f>
      </c>
      <c r="E127" s="86"/>
      <c r="F127" s="86"/>
      <c r="G127" s="86"/>
      <c r="H127" s="86"/>
      <c r="I127" s="86"/>
      <c r="J127" s="86"/>
      <c r="K127" s="86"/>
      <c r="L127" s="84">
        <f t="shared" si="1"/>
      </c>
      <c r="M127" s="84">
        <f t="shared" si="7"/>
      </c>
      <c r="N127" s="86"/>
      <c r="O127" s="84">
        <f t="shared" si="3"/>
      </c>
      <c r="P127" s="73">
        <f t="shared" si="4"/>
      </c>
      <c r="Q127" s="52">
        <f t="shared" si="8"/>
      </c>
      <c r="R127" s="56"/>
      <c r="S127" s="61">
        <f t="array" ref="S127">IF($B127="","",IF($R127&lt;&gt;"",IFERROR(INDEX('06_DS_Chinh_Thuc'!$K:$K,MATCH($R127,'06_DS_Chinh_Thuc'!$B:$B,0)),"Đang theo dõi"),"Đang theo dõi"))</f>
      </c>
      <c r="T127" s="83"/>
      <c r="U127" s="83"/>
      <c r="V127" s="83"/>
      <c r="W127" s="83"/>
      <c r="X127" s="83"/>
      <c r="Y127" s="83"/>
      <c r="Z127" s="83"/>
    </row>
    <row r="128" ht="14.25" customHeight="1" spans="1:26" x14ac:dyDescent="0.25">
      <c r="A128" s="84">
        <f t="shared" si="0"/>
      </c>
      <c r="B128" s="86"/>
      <c r="C128" s="84">
        <f t="array" ref="C128">IF(B128="","",IFERROR(INDEX('03_Ho_So_Nhan_Vien'!$E:$E,MATCH(B128,'03_Ho_So_Nhan_Vien'!$C:$C,0)),"Không tìm thấy Mã NV"))</f>
      </c>
      <c r="D128" s="85">
        <f t="array" ref="D128">IF(B128="","",IFERROR(INDEX('02_DS_Nhan_Viec'!$E:$E,MATCH(B128,'02_DS_Nhan_Viec'!$J:$J,0)),""))</f>
      </c>
      <c r="E128" s="86"/>
      <c r="F128" s="86"/>
      <c r="G128" s="86"/>
      <c r="H128" s="86"/>
      <c r="I128" s="86"/>
      <c r="J128" s="86"/>
      <c r="K128" s="86"/>
      <c r="L128" s="84">
        <f t="shared" si="1"/>
      </c>
      <c r="M128" s="84">
        <f t="shared" si="7"/>
      </c>
      <c r="N128" s="86"/>
      <c r="O128" s="84">
        <f t="shared" si="3"/>
      </c>
      <c r="P128" s="73">
        <f t="shared" si="4"/>
      </c>
      <c r="Q128" s="52">
        <f t="shared" si="8"/>
      </c>
      <c r="R128" s="56"/>
      <c r="S128" s="61">
        <f t="array" ref="S128">IF($B128="","",IF($R128&lt;&gt;"",IFERROR(INDEX('06_DS_Chinh_Thuc'!$K:$K,MATCH($R128,'06_DS_Chinh_Thuc'!$B:$B,0)),"Đang theo dõi"),"Đang theo dõi"))</f>
      </c>
      <c r="T128" s="83"/>
      <c r="U128" s="83"/>
      <c r="V128" s="83"/>
      <c r="W128" s="83"/>
      <c r="X128" s="83"/>
      <c r="Y128" s="83"/>
      <c r="Z128" s="83"/>
    </row>
    <row r="129" ht="14.25" customHeight="1" spans="1:26" x14ac:dyDescent="0.25">
      <c r="A129" s="84">
        <f t="shared" si="0"/>
      </c>
      <c r="B129" s="86"/>
      <c r="C129" s="84">
        <f t="array" ref="C129">IF(B129="","",IFERROR(INDEX('03_Ho_So_Nhan_Vien'!$E:$E,MATCH(B129,'03_Ho_So_Nhan_Vien'!$C:$C,0)),"Không tìm thấy Mã NV"))</f>
      </c>
      <c r="D129" s="85">
        <f t="array" ref="D129">IF(B129="","",IFERROR(INDEX('02_DS_Nhan_Viec'!$E:$E,MATCH(B129,'02_DS_Nhan_Viec'!$J:$J,0)),""))</f>
      </c>
      <c r="E129" s="86"/>
      <c r="F129" s="86"/>
      <c r="G129" s="86"/>
      <c r="H129" s="86"/>
      <c r="I129" s="86"/>
      <c r="J129" s="86"/>
      <c r="K129" s="86"/>
      <c r="L129" s="84">
        <f t="shared" si="1"/>
      </c>
      <c r="M129" s="84">
        <f t="shared" si="7"/>
      </c>
      <c r="N129" s="86"/>
      <c r="O129" s="84">
        <f t="shared" si="3"/>
      </c>
      <c r="P129" s="73">
        <f t="shared" si="4"/>
      </c>
      <c r="Q129" s="52">
        <f t="shared" si="8"/>
      </c>
      <c r="R129" s="56"/>
      <c r="S129" s="61">
        <f t="array" ref="S129">IF($B129="","",IF($R129&lt;&gt;"",IFERROR(INDEX('06_DS_Chinh_Thuc'!$K:$K,MATCH($R129,'06_DS_Chinh_Thuc'!$B:$B,0)),"Đang theo dõi"),"Đang theo dõi"))</f>
      </c>
      <c r="T129" s="83"/>
      <c r="U129" s="83"/>
      <c r="V129" s="83"/>
      <c r="W129" s="83"/>
      <c r="X129" s="83"/>
      <c r="Y129" s="83"/>
      <c r="Z129" s="83"/>
    </row>
    <row r="130" ht="14.25" customHeight="1" spans="1:26" x14ac:dyDescent="0.25">
      <c r="A130" s="84">
        <f t="shared" si="0"/>
      </c>
      <c r="B130" s="86"/>
      <c r="C130" s="84">
        <f t="array" ref="C130">IF(B130="","",IFERROR(INDEX('03_Ho_So_Nhan_Vien'!$E:$E,MATCH(B130,'03_Ho_So_Nhan_Vien'!$C:$C,0)),"Không tìm thấy Mã NV"))</f>
      </c>
      <c r="D130" s="85">
        <f t="array" ref="D130">IF(B130="","",IFERROR(INDEX('02_DS_Nhan_Viec'!$E:$E,MATCH(B130,'02_DS_Nhan_Viec'!$J:$J,0)),""))</f>
      </c>
      <c r="E130" s="86"/>
      <c r="F130" s="86"/>
      <c r="G130" s="86"/>
      <c r="H130" s="86"/>
      <c r="I130" s="86"/>
      <c r="J130" s="86"/>
      <c r="K130" s="86"/>
      <c r="L130" s="84">
        <f t="shared" si="1"/>
      </c>
      <c r="M130" s="84">
        <f t="shared" si="7"/>
      </c>
      <c r="N130" s="86"/>
      <c r="O130" s="84">
        <f t="shared" si="3"/>
      </c>
      <c r="P130" s="73">
        <f t="shared" si="4"/>
      </c>
      <c r="Q130" s="52">
        <f t="shared" si="8"/>
      </c>
      <c r="R130" s="56"/>
      <c r="S130" s="61">
        <f t="array" ref="S130">IF($B130="","",IF($R130&lt;&gt;"",IFERROR(INDEX('06_DS_Chinh_Thuc'!$K:$K,MATCH($R130,'06_DS_Chinh_Thuc'!$B:$B,0)),"Đang theo dõi"),"Đang theo dõi"))</f>
      </c>
      <c r="T130" s="83"/>
      <c r="U130" s="83"/>
      <c r="V130" s="83"/>
      <c r="W130" s="83"/>
      <c r="X130" s="83"/>
      <c r="Y130" s="83"/>
      <c r="Z130" s="83"/>
    </row>
    <row r="131" ht="14.25" customHeight="1" spans="1:26" x14ac:dyDescent="0.25">
      <c r="A131" s="84">
        <f t="shared" si="0"/>
      </c>
      <c r="B131" s="86"/>
      <c r="C131" s="84">
        <f t="array" ref="C131">IF(B131="","",IFERROR(INDEX('03_Ho_So_Nhan_Vien'!$E:$E,MATCH(B131,'03_Ho_So_Nhan_Vien'!$C:$C,0)),"Không tìm thấy Mã NV"))</f>
      </c>
      <c r="D131" s="85">
        <f t="array" ref="D131">IF(B131="","",IFERROR(INDEX('02_DS_Nhan_Viec'!$E:$E,MATCH(B131,'02_DS_Nhan_Viec'!$J:$J,0)),""))</f>
      </c>
      <c r="E131" s="86"/>
      <c r="F131" s="86"/>
      <c r="G131" s="86"/>
      <c r="H131" s="86"/>
      <c r="I131" s="86"/>
      <c r="J131" s="86"/>
      <c r="K131" s="86"/>
      <c r="L131" s="84">
        <f t="shared" si="1"/>
      </c>
      <c r="M131" s="84">
        <f t="shared" si="7"/>
      </c>
      <c r="N131" s="86"/>
      <c r="O131" s="84">
        <f t="shared" si="3"/>
      </c>
      <c r="P131" s="73">
        <f t="shared" si="4"/>
      </c>
      <c r="Q131" s="52">
        <f t="shared" si="8"/>
      </c>
      <c r="R131" s="56"/>
      <c r="S131" s="61">
        <f t="array" ref="S131">IF($B131="","",IF($R131&lt;&gt;"",IFERROR(INDEX('06_DS_Chinh_Thuc'!$K:$K,MATCH($R131,'06_DS_Chinh_Thuc'!$B:$B,0)),"Đang theo dõi"),"Đang theo dõi"))</f>
      </c>
      <c r="T131" s="83"/>
      <c r="U131" s="83"/>
      <c r="V131" s="83"/>
      <c r="W131" s="83"/>
      <c r="X131" s="83"/>
      <c r="Y131" s="83"/>
      <c r="Z131" s="83"/>
    </row>
    <row r="132" ht="14.25" customHeight="1" spans="1:26" x14ac:dyDescent="0.25">
      <c r="A132" s="84">
        <f t="shared" si="0"/>
      </c>
      <c r="B132" s="86"/>
      <c r="C132" s="84">
        <f t="array" ref="C132">IF(B132="","",IFERROR(INDEX('03_Ho_So_Nhan_Vien'!$E:$E,MATCH(B132,'03_Ho_So_Nhan_Vien'!$C:$C,0)),"Không tìm thấy Mã NV"))</f>
      </c>
      <c r="D132" s="85">
        <f t="array" ref="D132">IF(B132="","",IFERROR(INDEX('02_DS_Nhan_Viec'!$E:$E,MATCH(B132,'02_DS_Nhan_Viec'!$J:$J,0)),""))</f>
      </c>
      <c r="E132" s="86"/>
      <c r="F132" s="86"/>
      <c r="G132" s="86"/>
      <c r="H132" s="86"/>
      <c r="I132" s="86"/>
      <c r="J132" s="86"/>
      <c r="K132" s="86"/>
      <c r="L132" s="84">
        <f t="shared" si="1"/>
      </c>
      <c r="M132" s="84">
        <f t="shared" si="7"/>
      </c>
      <c r="N132" s="86"/>
      <c r="O132" s="84">
        <f t="shared" si="3"/>
      </c>
      <c r="P132" s="73">
        <f t="shared" si="4"/>
      </c>
      <c r="Q132" s="52">
        <f t="shared" si="8"/>
      </c>
      <c r="R132" s="56"/>
      <c r="S132" s="61">
        <f t="array" ref="S132">IF($B132="","",IF($R132&lt;&gt;"",IFERROR(INDEX('06_DS_Chinh_Thuc'!$K:$K,MATCH($R132,'06_DS_Chinh_Thuc'!$B:$B,0)),"Đang theo dõi"),"Đang theo dõi"))</f>
      </c>
      <c r="T132" s="83"/>
      <c r="U132" s="83"/>
      <c r="V132" s="83"/>
      <c r="W132" s="83"/>
      <c r="X132" s="83"/>
      <c r="Y132" s="83"/>
      <c r="Z132" s="83"/>
    </row>
    <row r="133" ht="14.25" customHeight="1" spans="1:26" x14ac:dyDescent="0.25">
      <c r="A133" s="84">
        <f t="shared" si="0"/>
      </c>
      <c r="B133" s="86"/>
      <c r="C133" s="84">
        <f t="array" ref="C133">IF(B133="","",IFERROR(INDEX('03_Ho_So_Nhan_Vien'!$E:$E,MATCH(B133,'03_Ho_So_Nhan_Vien'!$C:$C,0)),"Không tìm thấy Mã NV"))</f>
      </c>
      <c r="D133" s="85">
        <f t="array" ref="D133">IF(B133="","",IFERROR(INDEX('02_DS_Nhan_Viec'!$E:$E,MATCH(B133,'02_DS_Nhan_Viec'!$J:$J,0)),""))</f>
      </c>
      <c r="E133" s="86"/>
      <c r="F133" s="86"/>
      <c r="G133" s="86"/>
      <c r="H133" s="86"/>
      <c r="I133" s="86"/>
      <c r="J133" s="86"/>
      <c r="K133" s="86"/>
      <c r="L133" s="84">
        <f t="shared" si="1"/>
      </c>
      <c r="M133" s="84">
        <f t="shared" si="7"/>
      </c>
      <c r="N133" s="86"/>
      <c r="O133" s="84">
        <f t="shared" si="3"/>
      </c>
      <c r="P133" s="73">
        <f t="shared" si="4"/>
      </c>
      <c r="Q133" s="52">
        <f t="shared" si="8"/>
      </c>
      <c r="R133" s="56"/>
      <c r="S133" s="61">
        <f t="array" ref="S133">IF($B133="","",IF($R133&lt;&gt;"",IFERROR(INDEX('06_DS_Chinh_Thuc'!$K:$K,MATCH($R133,'06_DS_Chinh_Thuc'!$B:$B,0)),"Đang theo dõi"),"Đang theo dõi"))</f>
      </c>
      <c r="T133" s="83"/>
      <c r="U133" s="83"/>
      <c r="V133" s="83"/>
      <c r="W133" s="83"/>
      <c r="X133" s="83"/>
      <c r="Y133" s="83"/>
      <c r="Z133" s="83"/>
    </row>
    <row r="134" ht="14.25" customHeight="1" spans="1:26" x14ac:dyDescent="0.25">
      <c r="A134" s="84">
        <f t="shared" si="0"/>
      </c>
      <c r="B134" s="86"/>
      <c r="C134" s="84">
        <f t="array" ref="C134">IF(B134="","",IFERROR(INDEX('03_Ho_So_Nhan_Vien'!$E:$E,MATCH(B134,'03_Ho_So_Nhan_Vien'!$C:$C,0)),"Không tìm thấy Mã NV"))</f>
      </c>
      <c r="D134" s="85">
        <f t="array" ref="D134">IF(B134="","",IFERROR(INDEX('02_DS_Nhan_Viec'!$E:$E,MATCH(B134,'02_DS_Nhan_Viec'!$J:$J,0)),""))</f>
      </c>
      <c r="E134" s="86"/>
      <c r="F134" s="86"/>
      <c r="G134" s="86"/>
      <c r="H134" s="86"/>
      <c r="I134" s="86"/>
      <c r="J134" s="86"/>
      <c r="K134" s="86"/>
      <c r="L134" s="84">
        <f t="shared" si="1"/>
      </c>
      <c r="M134" s="84">
        <f t="shared" si="7"/>
      </c>
      <c r="N134" s="86"/>
      <c r="O134" s="84">
        <f t="shared" si="3"/>
      </c>
      <c r="P134" s="73">
        <f t="shared" si="4"/>
      </c>
      <c r="Q134" s="52">
        <f t="shared" si="8"/>
      </c>
      <c r="R134" s="56"/>
      <c r="S134" s="61">
        <f t="array" ref="S134">IF($B134="","",IF($R134&lt;&gt;"",IFERROR(INDEX('06_DS_Chinh_Thuc'!$K:$K,MATCH($R134,'06_DS_Chinh_Thuc'!$B:$B,0)),"Đang theo dõi"),"Đang theo dõi"))</f>
      </c>
      <c r="T134" s="83"/>
      <c r="U134" s="83"/>
      <c r="V134" s="83"/>
      <c r="W134" s="83"/>
      <c r="X134" s="83"/>
      <c r="Y134" s="83"/>
      <c r="Z134" s="83"/>
    </row>
    <row r="135" ht="14.25" customHeight="1" spans="1:26" x14ac:dyDescent="0.25">
      <c r="A135" s="84">
        <f t="shared" si="0"/>
      </c>
      <c r="B135" s="86"/>
      <c r="C135" s="84">
        <f t="array" ref="C135">IF(B135="","",IFERROR(INDEX('03_Ho_So_Nhan_Vien'!$E:$E,MATCH(B135,'03_Ho_So_Nhan_Vien'!$C:$C,0)),"Không tìm thấy Mã NV"))</f>
      </c>
      <c r="D135" s="85">
        <f t="array" ref="D135">IF(B135="","",IFERROR(INDEX('02_DS_Nhan_Viec'!$E:$E,MATCH(B135,'02_DS_Nhan_Viec'!$J:$J,0)),""))</f>
      </c>
      <c r="E135" s="86"/>
      <c r="F135" s="86"/>
      <c r="G135" s="86"/>
      <c r="H135" s="86"/>
      <c r="I135" s="86"/>
      <c r="J135" s="86"/>
      <c r="K135" s="86"/>
      <c r="L135" s="84">
        <f t="shared" si="1"/>
      </c>
      <c r="M135" s="84">
        <f t="shared" si="7"/>
      </c>
      <c r="N135" s="86"/>
      <c r="O135" s="84">
        <f t="shared" si="3"/>
      </c>
      <c r="P135" s="73">
        <f t="shared" si="4"/>
      </c>
      <c r="Q135" s="52">
        <f t="shared" si="8"/>
      </c>
      <c r="R135" s="56"/>
      <c r="S135" s="61">
        <f t="array" ref="S135">IF($B135="","",IF($R135&lt;&gt;"",IFERROR(INDEX('06_DS_Chinh_Thuc'!$K:$K,MATCH($R135,'06_DS_Chinh_Thuc'!$B:$B,0)),"Đang theo dõi"),"Đang theo dõi"))</f>
      </c>
      <c r="T135" s="83"/>
      <c r="U135" s="83"/>
      <c r="V135" s="83"/>
      <c r="W135" s="83"/>
      <c r="X135" s="83"/>
      <c r="Y135" s="83"/>
      <c r="Z135" s="83"/>
    </row>
    <row r="136" ht="14.25" customHeight="1" spans="1:26" x14ac:dyDescent="0.25">
      <c r="A136" s="84">
        <f t="shared" si="0"/>
      </c>
      <c r="B136" s="86"/>
      <c r="C136" s="84">
        <f t="array" ref="C136">IF(B136="","",IFERROR(INDEX('03_Ho_So_Nhan_Vien'!$E:$E,MATCH(B136,'03_Ho_So_Nhan_Vien'!$C:$C,0)),"Không tìm thấy Mã NV"))</f>
      </c>
      <c r="D136" s="85">
        <f t="array" ref="D136">IF(B136="","",IFERROR(INDEX('02_DS_Nhan_Viec'!$E:$E,MATCH(B136,'02_DS_Nhan_Viec'!$J:$J,0)),""))</f>
      </c>
      <c r="E136" s="86"/>
      <c r="F136" s="86"/>
      <c r="G136" s="86"/>
      <c r="H136" s="86"/>
      <c r="I136" s="86"/>
      <c r="J136" s="86"/>
      <c r="K136" s="86"/>
      <c r="L136" s="84">
        <f t="shared" si="1"/>
      </c>
      <c r="M136" s="84">
        <f t="shared" si="7"/>
      </c>
      <c r="N136" s="86"/>
      <c r="O136" s="84">
        <f t="shared" si="3"/>
      </c>
      <c r="P136" s="73">
        <f t="shared" si="4"/>
      </c>
      <c r="Q136" s="52">
        <f t="shared" si="8"/>
      </c>
      <c r="R136" s="56"/>
      <c r="S136" s="61">
        <f t="array" ref="S136">IF($B136="","",IF($R136&lt;&gt;"",IFERROR(INDEX('06_DS_Chinh_Thuc'!$K:$K,MATCH($R136,'06_DS_Chinh_Thuc'!$B:$B,0)),"Đang theo dõi"),"Đang theo dõi"))</f>
      </c>
      <c r="T136" s="83"/>
      <c r="U136" s="83"/>
      <c r="V136" s="83"/>
      <c r="W136" s="83"/>
      <c r="X136" s="83"/>
      <c r="Y136" s="83"/>
      <c r="Z136" s="83"/>
    </row>
    <row r="137" ht="14.25" customHeight="1" spans="1:26" x14ac:dyDescent="0.25">
      <c r="A137" s="84">
        <f t="shared" si="0"/>
      </c>
      <c r="B137" s="86"/>
      <c r="C137" s="84">
        <f t="array" ref="C137">IF(B137="","",IFERROR(INDEX('03_Ho_So_Nhan_Vien'!$E:$E,MATCH(B137,'03_Ho_So_Nhan_Vien'!$C:$C,0)),"Không tìm thấy Mã NV"))</f>
      </c>
      <c r="D137" s="85">
        <f t="array" ref="D137">IF(B137="","",IFERROR(INDEX('02_DS_Nhan_Viec'!$E:$E,MATCH(B137,'02_DS_Nhan_Viec'!$J:$J,0)),""))</f>
      </c>
      <c r="E137" s="86"/>
      <c r="F137" s="86"/>
      <c r="G137" s="86"/>
      <c r="H137" s="86"/>
      <c r="I137" s="86"/>
      <c r="J137" s="86"/>
      <c r="K137" s="86"/>
      <c r="L137" s="84">
        <f t="shared" si="1"/>
      </c>
      <c r="M137" s="84">
        <f t="shared" si="7"/>
      </c>
      <c r="N137" s="86"/>
      <c r="O137" s="84">
        <f t="shared" si="3"/>
      </c>
      <c r="P137" s="73">
        <f t="shared" si="4"/>
      </c>
      <c r="Q137" s="52">
        <f t="shared" si="8"/>
      </c>
      <c r="R137" s="56"/>
      <c r="S137" s="61">
        <f t="array" ref="S137">IF($B137="","",IF($R137&lt;&gt;"",IFERROR(INDEX('06_DS_Chinh_Thuc'!$K:$K,MATCH($R137,'06_DS_Chinh_Thuc'!$B:$B,0)),"Đang theo dõi"),"Đang theo dõi"))</f>
      </c>
      <c r="T137" s="83"/>
      <c r="U137" s="83"/>
      <c r="V137" s="83"/>
      <c r="W137" s="83"/>
      <c r="X137" s="83"/>
      <c r="Y137" s="83"/>
      <c r="Z137" s="83"/>
    </row>
    <row r="138" ht="14.25" customHeight="1" spans="1:26" x14ac:dyDescent="0.25">
      <c r="A138" s="84">
        <f t="shared" si="0"/>
      </c>
      <c r="B138" s="86"/>
      <c r="C138" s="84">
        <f t="array" ref="C138">IF(B138="","",IFERROR(INDEX('03_Ho_So_Nhan_Vien'!$E:$E,MATCH(B138,'03_Ho_So_Nhan_Vien'!$C:$C,0)),"Không tìm thấy Mã NV"))</f>
      </c>
      <c r="D138" s="85">
        <f t="array" ref="D138">IF(B138="","",IFERROR(INDEX('02_DS_Nhan_Viec'!$E:$E,MATCH(B138,'02_DS_Nhan_Viec'!$J:$J,0)),""))</f>
      </c>
      <c r="E138" s="86"/>
      <c r="F138" s="86"/>
      <c r="G138" s="86"/>
      <c r="H138" s="86"/>
      <c r="I138" s="86"/>
      <c r="J138" s="86"/>
      <c r="K138" s="86"/>
      <c r="L138" s="84">
        <f t="shared" si="1"/>
      </c>
      <c r="M138" s="84">
        <f t="shared" si="7"/>
      </c>
      <c r="N138" s="86"/>
      <c r="O138" s="84">
        <f t="shared" si="3"/>
      </c>
      <c r="P138" s="73">
        <f t="shared" si="4"/>
      </c>
      <c r="Q138" s="52">
        <f t="shared" si="8"/>
      </c>
      <c r="R138" s="56"/>
      <c r="S138" s="61">
        <f t="array" ref="S138">IF($B138="","",IF($R138&lt;&gt;"",IFERROR(INDEX('06_DS_Chinh_Thuc'!$K:$K,MATCH($R138,'06_DS_Chinh_Thuc'!$B:$B,0)),"Đang theo dõi"),"Đang theo dõi"))</f>
      </c>
      <c r="T138" s="83"/>
      <c r="U138" s="83"/>
      <c r="V138" s="83"/>
      <c r="W138" s="83"/>
      <c r="X138" s="83"/>
      <c r="Y138" s="83"/>
      <c r="Z138" s="83"/>
    </row>
    <row r="139" ht="14.25" customHeight="1" spans="1:26" x14ac:dyDescent="0.25">
      <c r="A139" s="84">
        <f t="shared" si="0"/>
      </c>
      <c r="B139" s="86"/>
      <c r="C139" s="84">
        <f t="array" ref="C139">IF(B139="","",IFERROR(INDEX('03_Ho_So_Nhan_Vien'!$E:$E,MATCH(B139,'03_Ho_So_Nhan_Vien'!$C:$C,0)),"Không tìm thấy Mã NV"))</f>
      </c>
      <c r="D139" s="85">
        <f t="array" ref="D139">IF(B139="","",IFERROR(INDEX('02_DS_Nhan_Viec'!$E:$E,MATCH(B139,'02_DS_Nhan_Viec'!$J:$J,0)),""))</f>
      </c>
      <c r="E139" s="86"/>
      <c r="F139" s="86"/>
      <c r="G139" s="86"/>
      <c r="H139" s="86"/>
      <c r="I139" s="86"/>
      <c r="J139" s="86"/>
      <c r="K139" s="86"/>
      <c r="L139" s="84">
        <f t="shared" si="1"/>
      </c>
      <c r="M139" s="84">
        <f t="shared" si="7"/>
      </c>
      <c r="N139" s="86"/>
      <c r="O139" s="84">
        <f t="shared" si="3"/>
      </c>
      <c r="P139" s="73">
        <f t="shared" si="4"/>
      </c>
      <c r="Q139" s="52">
        <f t="shared" si="8"/>
      </c>
      <c r="R139" s="56"/>
      <c r="S139" s="61">
        <f t="array" ref="S139">IF($B139="","",IF($R139&lt;&gt;"",IFERROR(INDEX('06_DS_Chinh_Thuc'!$K:$K,MATCH($R139,'06_DS_Chinh_Thuc'!$B:$B,0)),"Đang theo dõi"),"Đang theo dõi"))</f>
      </c>
      <c r="T139" s="83"/>
      <c r="U139" s="83"/>
      <c r="V139" s="83"/>
      <c r="W139" s="83"/>
      <c r="X139" s="83"/>
      <c r="Y139" s="83"/>
      <c r="Z139" s="83"/>
    </row>
    <row r="140" ht="14.25" customHeight="1" spans="1:26" x14ac:dyDescent="0.25">
      <c r="A140" s="84">
        <f t="shared" si="0"/>
      </c>
      <c r="B140" s="86"/>
      <c r="C140" s="84">
        <f t="array" ref="C140">IF(B140="","",IFERROR(INDEX('03_Ho_So_Nhan_Vien'!$E:$E,MATCH(B140,'03_Ho_So_Nhan_Vien'!$C:$C,0)),"Không tìm thấy Mã NV"))</f>
      </c>
      <c r="D140" s="85">
        <f t="array" ref="D140">IF(B140="","",IFERROR(INDEX('02_DS_Nhan_Viec'!$E:$E,MATCH(B140,'02_DS_Nhan_Viec'!$J:$J,0)),""))</f>
      </c>
      <c r="E140" s="86"/>
      <c r="F140" s="86"/>
      <c r="G140" s="86"/>
      <c r="H140" s="86"/>
      <c r="I140" s="86"/>
      <c r="J140" s="86"/>
      <c r="K140" s="86"/>
      <c r="L140" s="84">
        <f t="shared" si="1"/>
      </c>
      <c r="M140" s="84">
        <f t="shared" si="7"/>
      </c>
      <c r="N140" s="86"/>
      <c r="O140" s="84">
        <f t="shared" si="3"/>
      </c>
      <c r="P140" s="73">
        <f t="shared" si="4"/>
      </c>
      <c r="Q140" s="52">
        <f t="shared" si="8"/>
      </c>
      <c r="R140" s="56"/>
      <c r="S140" s="61">
        <f t="array" ref="S140">IF($B140="","",IF($R140&lt;&gt;"",IFERROR(INDEX('06_DS_Chinh_Thuc'!$K:$K,MATCH($R140,'06_DS_Chinh_Thuc'!$B:$B,0)),"Đang theo dõi"),"Đang theo dõi"))</f>
      </c>
      <c r="T140" s="83"/>
      <c r="U140" s="83"/>
      <c r="V140" s="83"/>
      <c r="W140" s="83"/>
      <c r="X140" s="83"/>
      <c r="Y140" s="83"/>
      <c r="Z140" s="83"/>
    </row>
    <row r="141" ht="14.25" customHeight="1" spans="1:26" x14ac:dyDescent="0.25">
      <c r="A141" s="84">
        <f t="shared" si="0"/>
      </c>
      <c r="B141" s="86"/>
      <c r="C141" s="84">
        <f t="array" ref="C141">IF(B141="","",IFERROR(INDEX('03_Ho_So_Nhan_Vien'!$E:$E,MATCH(B141,'03_Ho_So_Nhan_Vien'!$C:$C,0)),"Không tìm thấy Mã NV"))</f>
      </c>
      <c r="D141" s="85">
        <f t="array" ref="D141">IF(B141="","",IFERROR(INDEX('02_DS_Nhan_Viec'!$E:$E,MATCH(B141,'02_DS_Nhan_Viec'!$J:$J,0)),""))</f>
      </c>
      <c r="E141" s="86"/>
      <c r="F141" s="86"/>
      <c r="G141" s="86"/>
      <c r="H141" s="86"/>
      <c r="I141" s="86"/>
      <c r="J141" s="86"/>
      <c r="K141" s="86"/>
      <c r="L141" s="84">
        <f t="shared" si="1"/>
      </c>
      <c r="M141" s="84">
        <f t="shared" si="7"/>
      </c>
      <c r="N141" s="86"/>
      <c r="O141" s="84">
        <f t="shared" si="3"/>
      </c>
      <c r="P141" s="73">
        <f t="shared" si="4"/>
      </c>
      <c r="Q141" s="52">
        <f t="shared" si="8"/>
      </c>
      <c r="R141" s="56"/>
      <c r="S141" s="61">
        <f t="array" ref="S141">IF($B141="","",IF($R141&lt;&gt;"",IFERROR(INDEX('06_DS_Chinh_Thuc'!$K:$K,MATCH($R141,'06_DS_Chinh_Thuc'!$B:$B,0)),"Đang theo dõi"),"Đang theo dõi"))</f>
      </c>
      <c r="T141" s="83"/>
      <c r="U141" s="83"/>
      <c r="V141" s="83"/>
      <c r="W141" s="83"/>
      <c r="X141" s="83"/>
      <c r="Y141" s="83"/>
      <c r="Z141" s="83"/>
    </row>
    <row r="142" ht="14.25" customHeight="1" spans="1:26" x14ac:dyDescent="0.25">
      <c r="A142" s="84">
        <f t="shared" si="0"/>
      </c>
      <c r="B142" s="86"/>
      <c r="C142" s="84">
        <f t="array" ref="C142">IF(B142="","",IFERROR(INDEX('03_Ho_So_Nhan_Vien'!$E:$E,MATCH(B142,'03_Ho_So_Nhan_Vien'!$C:$C,0)),"Không tìm thấy Mã NV"))</f>
      </c>
      <c r="D142" s="85">
        <f t="array" ref="D142">IF(B142="","",IFERROR(INDEX('02_DS_Nhan_Viec'!$E:$E,MATCH(B142,'02_DS_Nhan_Viec'!$J:$J,0)),""))</f>
      </c>
      <c r="E142" s="86"/>
      <c r="F142" s="86"/>
      <c r="G142" s="86"/>
      <c r="H142" s="86"/>
      <c r="I142" s="86"/>
      <c r="J142" s="86"/>
      <c r="K142" s="86"/>
      <c r="L142" s="84">
        <f t="shared" si="1"/>
      </c>
      <c r="M142" s="84">
        <f t="shared" si="7"/>
      </c>
      <c r="N142" s="86"/>
      <c r="O142" s="84">
        <f t="shared" si="3"/>
      </c>
      <c r="P142" s="73">
        <f t="shared" si="4"/>
      </c>
      <c r="Q142" s="52">
        <f t="shared" si="8"/>
      </c>
      <c r="R142" s="56"/>
      <c r="S142" s="61">
        <f t="array" ref="S142">IF($B142="","",IF($R142&lt;&gt;"",IFERROR(INDEX('06_DS_Chinh_Thuc'!$K:$K,MATCH($R142,'06_DS_Chinh_Thuc'!$B:$B,0)),"Đang theo dõi"),"Đang theo dõi"))</f>
      </c>
      <c r="T142" s="83"/>
      <c r="U142" s="83"/>
      <c r="V142" s="83"/>
      <c r="W142" s="83"/>
      <c r="X142" s="83"/>
      <c r="Y142" s="83"/>
      <c r="Z142" s="83"/>
    </row>
    <row r="143" ht="14.25" customHeight="1" spans="1:26" x14ac:dyDescent="0.25">
      <c r="A143" s="84">
        <f t="shared" si="0"/>
      </c>
      <c r="B143" s="86"/>
      <c r="C143" s="84">
        <f t="array" ref="C143">IF(B143="","",IFERROR(INDEX('03_Ho_So_Nhan_Vien'!$E:$E,MATCH(B143,'03_Ho_So_Nhan_Vien'!$C:$C,0)),"Không tìm thấy Mã NV"))</f>
      </c>
      <c r="D143" s="85">
        <f t="array" ref="D143">IF(B143="","",IFERROR(INDEX('02_DS_Nhan_Viec'!$E:$E,MATCH(B143,'02_DS_Nhan_Viec'!$J:$J,0)),""))</f>
      </c>
      <c r="E143" s="86"/>
      <c r="F143" s="86"/>
      <c r="G143" s="86"/>
      <c r="H143" s="86"/>
      <c r="I143" s="86"/>
      <c r="J143" s="86"/>
      <c r="K143" s="86"/>
      <c r="L143" s="84">
        <f t="shared" si="1"/>
      </c>
      <c r="M143" s="84">
        <f t="shared" si="7"/>
      </c>
      <c r="N143" s="86"/>
      <c r="O143" s="84">
        <f t="shared" si="3"/>
      </c>
      <c r="P143" s="73">
        <f t="shared" si="4"/>
      </c>
      <c r="Q143" s="52">
        <f t="shared" si="8"/>
      </c>
      <c r="R143" s="56"/>
      <c r="S143" s="61">
        <f t="array" ref="S143">IF($B143="","",IF($R143&lt;&gt;"",IFERROR(INDEX('06_DS_Chinh_Thuc'!$K:$K,MATCH($R143,'06_DS_Chinh_Thuc'!$B:$B,0)),"Đang theo dõi"),"Đang theo dõi"))</f>
      </c>
      <c r="T143" s="83"/>
      <c r="U143" s="83"/>
      <c r="V143" s="83"/>
      <c r="W143" s="83"/>
      <c r="X143" s="83"/>
      <c r="Y143" s="83"/>
      <c r="Z143" s="83"/>
    </row>
    <row r="144" ht="14.25" customHeight="1" spans="1:26" x14ac:dyDescent="0.25">
      <c r="A144" s="84">
        <f t="shared" si="0"/>
      </c>
      <c r="B144" s="86"/>
      <c r="C144" s="84">
        <f t="array" ref="C144">IF(B144="","",IFERROR(INDEX('03_Ho_So_Nhan_Vien'!$E:$E,MATCH(B144,'03_Ho_So_Nhan_Vien'!$C:$C,0)),"Không tìm thấy Mã NV"))</f>
      </c>
      <c r="D144" s="85">
        <f t="array" ref="D144">IF(B144="","",IFERROR(INDEX('02_DS_Nhan_Viec'!$E:$E,MATCH(B144,'02_DS_Nhan_Viec'!$J:$J,0)),""))</f>
      </c>
      <c r="E144" s="86"/>
      <c r="F144" s="86"/>
      <c r="G144" s="86"/>
      <c r="H144" s="86"/>
      <c r="I144" s="86"/>
      <c r="J144" s="86"/>
      <c r="K144" s="86"/>
      <c r="L144" s="84">
        <f t="shared" si="1"/>
      </c>
      <c r="M144" s="84">
        <f t="shared" si="7"/>
      </c>
      <c r="N144" s="86"/>
      <c r="O144" s="84">
        <f t="shared" si="3"/>
      </c>
      <c r="P144" s="73">
        <f t="shared" si="4"/>
      </c>
      <c r="Q144" s="52">
        <f t="shared" si="8"/>
      </c>
      <c r="R144" s="56"/>
      <c r="S144" s="61">
        <f t="array" ref="S144">IF($B144="","",IF($R144&lt;&gt;"",IFERROR(INDEX('06_DS_Chinh_Thuc'!$K:$K,MATCH($R144,'06_DS_Chinh_Thuc'!$B:$B,0)),"Đang theo dõi"),"Đang theo dõi"))</f>
      </c>
      <c r="T144" s="83"/>
      <c r="U144" s="83"/>
      <c r="V144" s="83"/>
      <c r="W144" s="83"/>
      <c r="X144" s="83"/>
      <c r="Y144" s="83"/>
      <c r="Z144" s="83"/>
    </row>
    <row r="145" ht="14.25" customHeight="1" spans="1:26" x14ac:dyDescent="0.25">
      <c r="A145" s="84">
        <f t="shared" si="0"/>
      </c>
      <c r="B145" s="86"/>
      <c r="C145" s="84">
        <f t="array" ref="C145">IF(B145="","",IFERROR(INDEX('03_Ho_So_Nhan_Vien'!$E:$E,MATCH(B145,'03_Ho_So_Nhan_Vien'!$C:$C,0)),"Không tìm thấy Mã NV"))</f>
      </c>
      <c r="D145" s="85">
        <f t="array" ref="D145">IF(B145="","",IFERROR(INDEX('02_DS_Nhan_Viec'!$E:$E,MATCH(B145,'02_DS_Nhan_Viec'!$J:$J,0)),""))</f>
      </c>
      <c r="E145" s="86"/>
      <c r="F145" s="86"/>
      <c r="G145" s="86"/>
      <c r="H145" s="86"/>
      <c r="I145" s="86"/>
      <c r="J145" s="86"/>
      <c r="K145" s="86"/>
      <c r="L145" s="84">
        <f t="shared" si="1"/>
      </c>
      <c r="M145" s="84">
        <f t="shared" si="7"/>
      </c>
      <c r="N145" s="86"/>
      <c r="O145" s="84">
        <f t="shared" si="3"/>
      </c>
      <c r="P145" s="73">
        <f t="shared" si="4"/>
      </c>
      <c r="Q145" s="52">
        <f t="shared" si="8"/>
      </c>
      <c r="R145" s="56"/>
      <c r="S145" s="61">
        <f t="array" ref="S145">IF($B145="","",IF($R145&lt;&gt;"",IFERROR(INDEX('06_DS_Chinh_Thuc'!$K:$K,MATCH($R145,'06_DS_Chinh_Thuc'!$B:$B,0)),"Đang theo dõi"),"Đang theo dõi"))</f>
      </c>
      <c r="T145" s="83"/>
      <c r="U145" s="83"/>
      <c r="V145" s="83"/>
      <c r="W145" s="83"/>
      <c r="X145" s="83"/>
      <c r="Y145" s="83"/>
      <c r="Z145" s="83"/>
    </row>
    <row r="146" ht="14.25" customHeight="1" spans="1:26" x14ac:dyDescent="0.25">
      <c r="A146" s="84">
        <f t="shared" si="0"/>
      </c>
      <c r="B146" s="86"/>
      <c r="C146" s="84">
        <f t="array" ref="C146">IF(B146="","",IFERROR(INDEX('03_Ho_So_Nhan_Vien'!$E:$E,MATCH(B146,'03_Ho_So_Nhan_Vien'!$C:$C,0)),"Không tìm thấy Mã NV"))</f>
      </c>
      <c r="D146" s="85">
        <f t="array" ref="D146">IF(B146="","",IFERROR(INDEX('02_DS_Nhan_Viec'!$E:$E,MATCH(B146,'02_DS_Nhan_Viec'!$J:$J,0)),""))</f>
      </c>
      <c r="E146" s="86"/>
      <c r="F146" s="86"/>
      <c r="G146" s="86"/>
      <c r="H146" s="86"/>
      <c r="I146" s="86"/>
      <c r="J146" s="86"/>
      <c r="K146" s="86"/>
      <c r="L146" s="84">
        <f t="shared" si="1"/>
      </c>
      <c r="M146" s="84">
        <f t="shared" si="7"/>
      </c>
      <c r="N146" s="86"/>
      <c r="O146" s="84">
        <f t="shared" si="3"/>
      </c>
      <c r="P146" s="73">
        <f t="shared" si="4"/>
      </c>
      <c r="Q146" s="52">
        <f t="shared" si="8"/>
      </c>
      <c r="R146" s="56"/>
      <c r="S146" s="61">
        <f t="array" ref="S146">IF($B146="","",IF($R146&lt;&gt;"",IFERROR(INDEX('06_DS_Chinh_Thuc'!$K:$K,MATCH($R146,'06_DS_Chinh_Thuc'!$B:$B,0)),"Đang theo dõi"),"Đang theo dõi"))</f>
      </c>
      <c r="T146" s="83"/>
      <c r="U146" s="83"/>
      <c r="V146" s="83"/>
      <c r="W146" s="83"/>
      <c r="X146" s="83"/>
      <c r="Y146" s="83"/>
      <c r="Z146" s="83"/>
    </row>
    <row r="147" ht="14.25" customHeight="1" spans="1:26" x14ac:dyDescent="0.25">
      <c r="A147" s="84">
        <f t="shared" si="0"/>
      </c>
      <c r="B147" s="86"/>
      <c r="C147" s="84">
        <f t="array" ref="C147">IF(B147="","",IFERROR(INDEX('03_Ho_So_Nhan_Vien'!$E:$E,MATCH(B147,'03_Ho_So_Nhan_Vien'!$C:$C,0)),"Không tìm thấy Mã NV"))</f>
      </c>
      <c r="D147" s="85">
        <f t="array" ref="D147">IF(B147="","",IFERROR(INDEX('02_DS_Nhan_Viec'!$E:$E,MATCH(B147,'02_DS_Nhan_Viec'!$J:$J,0)),""))</f>
      </c>
      <c r="E147" s="86"/>
      <c r="F147" s="86"/>
      <c r="G147" s="86"/>
      <c r="H147" s="86"/>
      <c r="I147" s="86"/>
      <c r="J147" s="86"/>
      <c r="K147" s="86"/>
      <c r="L147" s="84">
        <f t="shared" si="1"/>
      </c>
      <c r="M147" s="84">
        <f t="shared" si="7"/>
      </c>
      <c r="N147" s="86"/>
      <c r="O147" s="84">
        <f t="shared" si="3"/>
      </c>
      <c r="P147" s="73">
        <f t="shared" si="4"/>
      </c>
      <c r="Q147" s="52">
        <f t="shared" si="8"/>
      </c>
      <c r="R147" s="56"/>
      <c r="S147" s="61">
        <f t="array" ref="S147">IF($B147="","",IF($R147&lt;&gt;"",IFERROR(INDEX('06_DS_Chinh_Thuc'!$K:$K,MATCH($R147,'06_DS_Chinh_Thuc'!$B:$B,0)),"Đang theo dõi"),"Đang theo dõi"))</f>
      </c>
      <c r="T147" s="83"/>
      <c r="U147" s="83"/>
      <c r="V147" s="83"/>
      <c r="W147" s="83"/>
      <c r="X147" s="83"/>
      <c r="Y147" s="83"/>
      <c r="Z147" s="83"/>
    </row>
    <row r="148" ht="14.25" customHeight="1" spans="1:26" x14ac:dyDescent="0.25">
      <c r="A148" s="84">
        <f t="shared" si="0"/>
      </c>
      <c r="B148" s="86"/>
      <c r="C148" s="84">
        <f t="array" ref="C148">IF(B148="","",IFERROR(INDEX('03_Ho_So_Nhan_Vien'!$E:$E,MATCH(B148,'03_Ho_So_Nhan_Vien'!$C:$C,0)),"Không tìm thấy Mã NV"))</f>
      </c>
      <c r="D148" s="85">
        <f t="array" ref="D148">IF(B148="","",IFERROR(INDEX('02_DS_Nhan_Viec'!$E:$E,MATCH(B148,'02_DS_Nhan_Viec'!$J:$J,0)),""))</f>
      </c>
      <c r="E148" s="86"/>
      <c r="F148" s="86"/>
      <c r="G148" s="86"/>
      <c r="H148" s="86"/>
      <c r="I148" s="86"/>
      <c r="J148" s="86"/>
      <c r="K148" s="86"/>
      <c r="L148" s="84">
        <f t="shared" si="1"/>
      </c>
      <c r="M148" s="84">
        <f t="shared" si="7"/>
      </c>
      <c r="N148" s="86"/>
      <c r="O148" s="84">
        <f t="shared" si="3"/>
      </c>
      <c r="P148" s="73">
        <f t="shared" si="4"/>
      </c>
      <c r="Q148" s="52">
        <f t="shared" si="8"/>
      </c>
      <c r="R148" s="56"/>
      <c r="S148" s="61">
        <f t="array" ref="S148">IF($B148="","",IF($R148&lt;&gt;"",IFERROR(INDEX('06_DS_Chinh_Thuc'!$K:$K,MATCH($R148,'06_DS_Chinh_Thuc'!$B:$B,0)),"Đang theo dõi"),"Đang theo dõi"))</f>
      </c>
      <c r="T148" s="83"/>
      <c r="U148" s="83"/>
      <c r="V148" s="83"/>
      <c r="W148" s="83"/>
      <c r="X148" s="83"/>
      <c r="Y148" s="83"/>
      <c r="Z148" s="83"/>
    </row>
    <row r="149" ht="14.25" customHeight="1" spans="1:26" x14ac:dyDescent="0.25">
      <c r="A149" s="84">
        <f t="shared" si="0"/>
      </c>
      <c r="B149" s="86"/>
      <c r="C149" s="84">
        <f t="array" ref="C149">IF(B149="","",IFERROR(INDEX('03_Ho_So_Nhan_Vien'!$E:$E,MATCH(B149,'03_Ho_So_Nhan_Vien'!$C:$C,0)),"Không tìm thấy Mã NV"))</f>
      </c>
      <c r="D149" s="85">
        <f t="array" ref="D149">IF(B149="","",IFERROR(INDEX('02_DS_Nhan_Viec'!$E:$E,MATCH(B149,'02_DS_Nhan_Viec'!$J:$J,0)),""))</f>
      </c>
      <c r="E149" s="86"/>
      <c r="F149" s="86"/>
      <c r="G149" s="86"/>
      <c r="H149" s="86"/>
      <c r="I149" s="86"/>
      <c r="J149" s="86"/>
      <c r="K149" s="86"/>
      <c r="L149" s="84">
        <f t="shared" si="1"/>
      </c>
      <c r="M149" s="84">
        <f t="shared" si="7"/>
      </c>
      <c r="N149" s="86"/>
      <c r="O149" s="84">
        <f t="shared" si="3"/>
      </c>
      <c r="P149" s="73">
        <f t="shared" si="4"/>
      </c>
      <c r="Q149" s="52">
        <f t="shared" si="8"/>
      </c>
      <c r="R149" s="56"/>
      <c r="S149" s="61">
        <f t="array" ref="S149">IF($B149="","",IF($R149&lt;&gt;"",IFERROR(INDEX('06_DS_Chinh_Thuc'!$K:$K,MATCH($R149,'06_DS_Chinh_Thuc'!$B:$B,0)),"Đang theo dõi"),"Đang theo dõi"))</f>
      </c>
      <c r="T149" s="83"/>
      <c r="U149" s="83"/>
      <c r="V149" s="83"/>
      <c r="W149" s="83"/>
      <c r="X149" s="83"/>
      <c r="Y149" s="83"/>
      <c r="Z149" s="83"/>
    </row>
    <row r="150" ht="14.25" customHeight="1" spans="1:26" x14ac:dyDescent="0.25">
      <c r="A150" s="84">
        <f t="shared" si="0"/>
      </c>
      <c r="B150" s="86"/>
      <c r="C150" s="84">
        <f t="array" ref="C150">IF(B150="","",IFERROR(INDEX('03_Ho_So_Nhan_Vien'!$E:$E,MATCH(B150,'03_Ho_So_Nhan_Vien'!$C:$C,0)),"Không tìm thấy Mã NV"))</f>
      </c>
      <c r="D150" s="85">
        <f t="array" ref="D150">IF(B150="","",IFERROR(INDEX('02_DS_Nhan_Viec'!$E:$E,MATCH(B150,'02_DS_Nhan_Viec'!$J:$J,0)),""))</f>
      </c>
      <c r="E150" s="86"/>
      <c r="F150" s="86"/>
      <c r="G150" s="86"/>
      <c r="H150" s="86"/>
      <c r="I150" s="86"/>
      <c r="J150" s="86"/>
      <c r="K150" s="86"/>
      <c r="L150" s="84">
        <f t="shared" si="1"/>
      </c>
      <c r="M150" s="84">
        <f t="shared" si="7"/>
      </c>
      <c r="N150" s="86"/>
      <c r="O150" s="84">
        <f t="shared" si="3"/>
      </c>
      <c r="P150" s="73">
        <f t="shared" si="4"/>
      </c>
      <c r="Q150" s="52">
        <f t="shared" si="8"/>
      </c>
      <c r="R150" s="56"/>
      <c r="S150" s="61">
        <f t="array" ref="S150">IF($B150="","",IF($R150&lt;&gt;"",IFERROR(INDEX('06_DS_Chinh_Thuc'!$K:$K,MATCH($R150,'06_DS_Chinh_Thuc'!$B:$B,0)),"Đang theo dõi"),"Đang theo dõi"))</f>
      </c>
      <c r="T150" s="83"/>
      <c r="U150" s="83"/>
      <c r="V150" s="83"/>
      <c r="W150" s="83"/>
      <c r="X150" s="83"/>
      <c r="Y150" s="83"/>
      <c r="Z150" s="83"/>
    </row>
    <row r="151" ht="14.25" customHeight="1" spans="1:26" x14ac:dyDescent="0.25">
      <c r="A151" s="84">
        <f t="shared" si="0"/>
      </c>
      <c r="B151" s="86"/>
      <c r="C151" s="84">
        <f t="array" ref="C151">IF(B151="","",IFERROR(INDEX('03_Ho_So_Nhan_Vien'!$E:$E,MATCH(B151,'03_Ho_So_Nhan_Vien'!$C:$C,0)),"Không tìm thấy Mã NV"))</f>
      </c>
      <c r="D151" s="85">
        <f t="array" ref="D151">IF(B151="","",IFERROR(INDEX('02_DS_Nhan_Viec'!$E:$E,MATCH(B151,'02_DS_Nhan_Viec'!$J:$J,0)),""))</f>
      </c>
      <c r="E151" s="86"/>
      <c r="F151" s="86"/>
      <c r="G151" s="86"/>
      <c r="H151" s="86"/>
      <c r="I151" s="86"/>
      <c r="J151" s="86"/>
      <c r="K151" s="86"/>
      <c r="L151" s="84">
        <f t="shared" si="1"/>
      </c>
      <c r="M151" s="84">
        <f t="shared" si="7"/>
      </c>
      <c r="N151" s="86"/>
      <c r="O151" s="84">
        <f t="shared" si="3"/>
      </c>
      <c r="P151" s="73">
        <f t="shared" si="4"/>
      </c>
      <c r="Q151" s="52">
        <f t="shared" si="8"/>
      </c>
      <c r="R151" s="56"/>
      <c r="S151" s="61">
        <f t="array" ref="S151">IF($B151="","",IF($R151&lt;&gt;"",IFERROR(INDEX('06_DS_Chinh_Thuc'!$K:$K,MATCH($R151,'06_DS_Chinh_Thuc'!$B:$B,0)),"Đang theo dõi"),"Đang theo dõi"))</f>
      </c>
      <c r="T151" s="83"/>
      <c r="U151" s="83"/>
      <c r="V151" s="83"/>
      <c r="W151" s="83"/>
      <c r="X151" s="83"/>
      <c r="Y151" s="83"/>
      <c r="Z151" s="83"/>
    </row>
    <row r="152" ht="14.25" customHeight="1" spans="1:26" x14ac:dyDescent="0.25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</row>
    <row r="153" ht="14.25" customHeight="1" spans="1:26" x14ac:dyDescent="0.25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</row>
    <row r="154" ht="14.25" customHeight="1" spans="1:26" x14ac:dyDescent="0.25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</row>
    <row r="155" ht="14.25" customHeight="1" spans="1:26" x14ac:dyDescent="0.25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</row>
    <row r="156" ht="14.25" customHeight="1" spans="1:26" x14ac:dyDescent="0.25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</row>
    <row r="157" ht="14.25" customHeight="1" spans="1:26" x14ac:dyDescent="0.25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</row>
    <row r="158" ht="14.25" customHeight="1" spans="1:26" x14ac:dyDescent="0.25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</row>
    <row r="159" ht="14.25" customHeight="1" spans="1:26" x14ac:dyDescent="0.25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</row>
    <row r="160" ht="14.25" customHeight="1" spans="1:26" x14ac:dyDescent="0.25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</row>
    <row r="161" ht="14.25" customHeight="1" spans="1:26" x14ac:dyDescent="0.25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</row>
    <row r="162" ht="14.25" customHeight="1" spans="1:26" x14ac:dyDescent="0.25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</row>
    <row r="163" ht="14.25" customHeight="1" spans="1:26" x14ac:dyDescent="0.25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</row>
    <row r="164" ht="14.25" customHeight="1" spans="1:26" x14ac:dyDescent="0.25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</row>
    <row r="165" ht="14.25" customHeight="1" spans="1:26" x14ac:dyDescent="0.25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</row>
    <row r="166" ht="14.25" customHeight="1" spans="1:26" x14ac:dyDescent="0.25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</row>
    <row r="167" ht="14.25" customHeight="1" spans="1:26" x14ac:dyDescent="0.25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</row>
    <row r="168" ht="14.25" customHeight="1" spans="1:26" x14ac:dyDescent="0.25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</row>
    <row r="169" ht="14.25" customHeight="1" spans="1:26" x14ac:dyDescent="0.25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</row>
    <row r="170" ht="14.25" customHeight="1" spans="1:26" x14ac:dyDescent="0.25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</row>
    <row r="171" ht="14.25" customHeight="1" spans="1:26" x14ac:dyDescent="0.25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</row>
    <row r="172" ht="14.25" customHeight="1" spans="1:26" x14ac:dyDescent="0.25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</row>
    <row r="173" ht="14.25" customHeight="1" spans="1:26" x14ac:dyDescent="0.25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</row>
    <row r="174" ht="14.25" customHeight="1" spans="1:26" x14ac:dyDescent="0.25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</row>
    <row r="175" ht="14.25" customHeight="1" spans="1:26" x14ac:dyDescent="0.25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</row>
    <row r="176" ht="14.25" customHeight="1" spans="1:26" x14ac:dyDescent="0.25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</row>
    <row r="177" ht="14.25" customHeight="1" spans="1:26" x14ac:dyDescent="0.25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</row>
    <row r="178" ht="14.25" customHeight="1" spans="1:26" x14ac:dyDescent="0.25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</row>
    <row r="179" ht="14.25" customHeight="1" spans="1:26" x14ac:dyDescent="0.25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</row>
    <row r="180" ht="14.25" customHeight="1" spans="1:26" x14ac:dyDescent="0.25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</row>
    <row r="181" ht="14.25" customHeight="1" spans="1:26" x14ac:dyDescent="0.25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</row>
    <row r="182" ht="14.25" customHeight="1" spans="1:26" x14ac:dyDescent="0.25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</row>
    <row r="183" ht="14.25" customHeight="1" spans="1:26" x14ac:dyDescent="0.25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</row>
    <row r="184" ht="14.25" customHeight="1" spans="1:26" x14ac:dyDescent="0.25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</row>
    <row r="185" ht="14.25" customHeight="1" spans="1:26" x14ac:dyDescent="0.25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</row>
    <row r="186" ht="14.25" customHeight="1" spans="1:26" x14ac:dyDescent="0.25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</row>
    <row r="187" ht="14.25" customHeight="1" spans="1:26" x14ac:dyDescent="0.25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</row>
    <row r="188" ht="14.25" customHeight="1" spans="1:26" x14ac:dyDescent="0.25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</row>
    <row r="189" ht="14.25" customHeight="1" spans="1:26" x14ac:dyDescent="0.25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</row>
    <row r="190" ht="14.25" customHeight="1" spans="1:26" x14ac:dyDescent="0.25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</row>
    <row r="191" ht="14.25" customHeight="1" spans="1:26" x14ac:dyDescent="0.25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</row>
    <row r="192" ht="14.25" customHeight="1" spans="1:26" x14ac:dyDescent="0.25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</row>
    <row r="193" ht="14.25" customHeight="1" spans="1:26" x14ac:dyDescent="0.25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</row>
    <row r="194" ht="14.25" customHeight="1" spans="1:26" x14ac:dyDescent="0.25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</row>
    <row r="195" ht="14.25" customHeight="1" spans="1:26" x14ac:dyDescent="0.25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</row>
    <row r="196" ht="14.25" customHeight="1" spans="1:26" x14ac:dyDescent="0.25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</row>
    <row r="197" ht="14.25" customHeight="1" spans="1:26" x14ac:dyDescent="0.25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</row>
    <row r="198" ht="14.25" customHeight="1" spans="1:26" x14ac:dyDescent="0.25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</row>
    <row r="199" ht="14.25" customHeight="1" spans="1:26" x14ac:dyDescent="0.25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</row>
    <row r="200" ht="14.25" customHeight="1" spans="1:26" x14ac:dyDescent="0.25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</row>
    <row r="201" ht="14.25" customHeight="1" spans="1:26" x14ac:dyDescent="0.25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</row>
    <row r="202" ht="14.25" customHeight="1" spans="1:26" x14ac:dyDescent="0.25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</row>
    <row r="203" ht="14.25" customHeight="1" spans="1:26" x14ac:dyDescent="0.25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</row>
    <row r="204" ht="14.25" customHeight="1" spans="1:26" x14ac:dyDescent="0.25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</row>
    <row r="205" ht="14.25" customHeight="1" spans="1:26" x14ac:dyDescent="0.25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</row>
    <row r="206" ht="14.25" customHeight="1" spans="1:26" x14ac:dyDescent="0.25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</row>
    <row r="207" ht="14.25" customHeight="1" spans="1:26" x14ac:dyDescent="0.25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</row>
    <row r="208" ht="14.25" customHeight="1" spans="1:26" x14ac:dyDescent="0.25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</row>
    <row r="209" ht="14.25" customHeight="1" spans="1:26" x14ac:dyDescent="0.25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</row>
    <row r="210" ht="14.25" customHeight="1" spans="1:26" x14ac:dyDescent="0.25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</row>
    <row r="211" ht="14.25" customHeight="1" spans="1:26" x14ac:dyDescent="0.25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</row>
    <row r="212" ht="14.25" customHeight="1" spans="1:26" x14ac:dyDescent="0.25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</row>
    <row r="213" ht="14.25" customHeight="1" spans="1:26" x14ac:dyDescent="0.25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</row>
    <row r="214" ht="14.25" customHeight="1" spans="1:26" x14ac:dyDescent="0.25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</row>
    <row r="215" ht="14.25" customHeight="1" spans="1:26" x14ac:dyDescent="0.25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</row>
    <row r="216" ht="14.25" customHeight="1" spans="1:26" x14ac:dyDescent="0.25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</row>
    <row r="217" ht="14.25" customHeight="1" spans="1:26" x14ac:dyDescent="0.25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</row>
    <row r="218" ht="14.25" customHeight="1" spans="1:26" x14ac:dyDescent="0.25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</row>
    <row r="219" ht="14.25" customHeight="1" spans="1:26" x14ac:dyDescent="0.25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</row>
    <row r="220" ht="14.25" customHeight="1" spans="1:26" x14ac:dyDescent="0.25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</row>
    <row r="221" ht="14.25" customHeight="1" spans="1:26" x14ac:dyDescent="0.25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</row>
    <row r="222" ht="14.25" customHeight="1" spans="1:26" x14ac:dyDescent="0.25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</row>
    <row r="223" ht="14.25" customHeight="1" spans="1:26" x14ac:dyDescent="0.25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</row>
    <row r="224" ht="14.25" customHeight="1" spans="1:26" x14ac:dyDescent="0.25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</row>
    <row r="225" ht="14.25" customHeight="1" spans="1:26" x14ac:dyDescent="0.25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</row>
    <row r="226" ht="14.25" customHeight="1" spans="1:26" x14ac:dyDescent="0.25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</row>
    <row r="227" ht="14.25" customHeight="1" spans="1:26" x14ac:dyDescent="0.25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</row>
    <row r="228" ht="14.25" customHeight="1" spans="1:26" x14ac:dyDescent="0.25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</row>
    <row r="229" ht="14.25" customHeight="1" spans="1:26" x14ac:dyDescent="0.25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</row>
    <row r="230" ht="14.25" customHeight="1" spans="1:26" x14ac:dyDescent="0.25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</row>
    <row r="231" ht="14.25" customHeight="1" spans="1:26" x14ac:dyDescent="0.25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</row>
    <row r="232" ht="14.25" customHeight="1" spans="1:26" x14ac:dyDescent="0.25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</row>
    <row r="233" ht="14.25" customHeight="1" spans="1:26" x14ac:dyDescent="0.25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</row>
    <row r="234" ht="14.25" customHeight="1" spans="1:26" x14ac:dyDescent="0.25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</row>
    <row r="235" ht="14.25" customHeight="1" spans="1:26" x14ac:dyDescent="0.25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</row>
    <row r="236" ht="14.25" customHeight="1" spans="1:26" x14ac:dyDescent="0.25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</row>
    <row r="237" ht="14.25" customHeight="1" spans="1:26" x14ac:dyDescent="0.25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</row>
    <row r="238" ht="14.25" customHeight="1" spans="1:26" x14ac:dyDescent="0.25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</row>
    <row r="239" ht="14.25" customHeight="1" spans="1:26" x14ac:dyDescent="0.25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</row>
    <row r="240" ht="14.25" customHeight="1" spans="1:26" x14ac:dyDescent="0.25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</row>
    <row r="241" ht="14.25" customHeight="1" spans="1:26" x14ac:dyDescent="0.25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</row>
    <row r="242" ht="14.25" customHeight="1" spans="1:26" x14ac:dyDescent="0.25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</row>
    <row r="243" ht="14.25" customHeight="1" spans="1:26" x14ac:dyDescent="0.25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</row>
    <row r="244" ht="14.25" customHeight="1" spans="1:26" x14ac:dyDescent="0.25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</row>
    <row r="245" ht="14.25" customHeight="1" spans="1:26" x14ac:dyDescent="0.25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</row>
    <row r="246" ht="14.25" customHeight="1" spans="1:26" x14ac:dyDescent="0.25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</row>
    <row r="247" ht="14.25" customHeight="1" spans="1:26" x14ac:dyDescent="0.25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</row>
    <row r="248" ht="14.25" customHeight="1" spans="1:26" x14ac:dyDescent="0.25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</row>
    <row r="249" ht="14.25" customHeight="1" spans="1:26" x14ac:dyDescent="0.25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</row>
    <row r="250" ht="14.25" customHeight="1" spans="1:26" x14ac:dyDescent="0.25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</row>
    <row r="251" ht="14.25" customHeight="1" spans="1:26" x14ac:dyDescent="0.25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</row>
    <row r="252" ht="14.25" customHeight="1" spans="1:26" x14ac:dyDescent="0.25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</row>
    <row r="253" ht="14.25" customHeight="1" spans="1:26" x14ac:dyDescent="0.25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</row>
    <row r="254" ht="14.25" customHeight="1" spans="1:26" x14ac:dyDescent="0.25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</row>
    <row r="255" ht="14.25" customHeight="1" spans="1:26" x14ac:dyDescent="0.25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</row>
    <row r="256" ht="14.25" customHeight="1" spans="1:26" x14ac:dyDescent="0.25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</row>
    <row r="257" ht="14.25" customHeight="1" spans="1:26" x14ac:dyDescent="0.25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</row>
    <row r="258" ht="14.25" customHeight="1" spans="1:26" x14ac:dyDescent="0.25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</row>
    <row r="259" ht="14.25" customHeight="1" spans="1:26" x14ac:dyDescent="0.25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</row>
    <row r="260" ht="14.25" customHeight="1" spans="1:26" x14ac:dyDescent="0.25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</row>
    <row r="261" ht="14.25" customHeight="1" spans="1:26" x14ac:dyDescent="0.25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</row>
    <row r="262" ht="14.25" customHeight="1" spans="1:26" x14ac:dyDescent="0.25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</row>
    <row r="263" ht="14.25" customHeight="1" spans="1:26" x14ac:dyDescent="0.25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</row>
    <row r="264" ht="14.25" customHeight="1" spans="1:26" x14ac:dyDescent="0.25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</row>
    <row r="265" ht="14.25" customHeight="1" spans="1:26" x14ac:dyDescent="0.25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</row>
    <row r="266" ht="14.25" customHeight="1" spans="1:26" x14ac:dyDescent="0.25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</row>
    <row r="267" ht="14.25" customHeight="1" spans="1:26" x14ac:dyDescent="0.25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</row>
    <row r="268" ht="14.25" customHeight="1" spans="1:26" x14ac:dyDescent="0.25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</row>
    <row r="269" ht="14.25" customHeight="1" spans="1:26" x14ac:dyDescent="0.25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</row>
    <row r="270" ht="14.25" customHeight="1" spans="1:26" x14ac:dyDescent="0.25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</row>
    <row r="271" ht="14.25" customHeight="1" spans="1:26" x14ac:dyDescent="0.25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</row>
    <row r="272" ht="14.25" customHeight="1" spans="1:26" x14ac:dyDescent="0.25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</row>
    <row r="273" ht="14.25" customHeight="1" spans="1:26" x14ac:dyDescent="0.25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</row>
    <row r="274" ht="14.25" customHeight="1" spans="1:26" x14ac:dyDescent="0.25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</row>
    <row r="275" ht="14.25" customHeight="1" spans="1:26" x14ac:dyDescent="0.25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</row>
    <row r="276" ht="14.25" customHeight="1" spans="1:26" x14ac:dyDescent="0.25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</row>
    <row r="277" ht="14.25" customHeight="1" spans="1:26" x14ac:dyDescent="0.25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</row>
    <row r="278" ht="14.25" customHeight="1" spans="1:26" x14ac:dyDescent="0.25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</row>
    <row r="279" ht="14.25" customHeight="1" spans="1:26" x14ac:dyDescent="0.25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</row>
    <row r="280" ht="14.25" customHeight="1" spans="1:26" x14ac:dyDescent="0.25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</row>
    <row r="281" ht="14.25" customHeight="1" spans="1:26" x14ac:dyDescent="0.25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</row>
    <row r="282" ht="14.25" customHeight="1" spans="1:26" x14ac:dyDescent="0.25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</row>
    <row r="283" ht="14.25" customHeight="1" spans="1:26" x14ac:dyDescent="0.25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</row>
    <row r="284" ht="14.25" customHeight="1" spans="1:26" x14ac:dyDescent="0.25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</row>
    <row r="285" ht="14.25" customHeight="1" spans="1:26" x14ac:dyDescent="0.25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</row>
    <row r="286" ht="14.25" customHeight="1" spans="1:26" x14ac:dyDescent="0.25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</row>
    <row r="287" ht="14.25" customHeight="1" spans="1:26" x14ac:dyDescent="0.25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</row>
    <row r="288" ht="14.25" customHeight="1" spans="1:26" x14ac:dyDescent="0.25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</row>
    <row r="289" ht="14.25" customHeight="1" spans="1:26" x14ac:dyDescent="0.25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</row>
    <row r="290" ht="14.25" customHeight="1" spans="1:26" x14ac:dyDescent="0.25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</row>
    <row r="291" ht="14.25" customHeight="1" spans="1:26" x14ac:dyDescent="0.25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</row>
    <row r="292" ht="14.25" customHeight="1" spans="1:26" x14ac:dyDescent="0.25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</row>
    <row r="293" ht="14.25" customHeight="1" spans="1:26" x14ac:dyDescent="0.25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</row>
    <row r="294" ht="14.25" customHeight="1" spans="1:26" x14ac:dyDescent="0.25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</row>
    <row r="295" ht="14.25" customHeight="1" spans="1:26" x14ac:dyDescent="0.25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</row>
    <row r="296" ht="14.25" customHeight="1" spans="1:26" x14ac:dyDescent="0.25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</row>
    <row r="297" ht="14.25" customHeight="1" spans="1:26" x14ac:dyDescent="0.25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</row>
    <row r="298" ht="14.25" customHeight="1" spans="1:26" x14ac:dyDescent="0.25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</row>
    <row r="299" ht="14.25" customHeight="1" spans="1:26" x14ac:dyDescent="0.25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</row>
    <row r="300" ht="14.25" customHeight="1" spans="1:26" x14ac:dyDescent="0.25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</row>
    <row r="301" ht="14.25" customHeight="1" spans="1:26" x14ac:dyDescent="0.25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</row>
    <row r="302" ht="14.25" customHeight="1" spans="1:26" x14ac:dyDescent="0.25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</row>
    <row r="303" ht="14.25" customHeight="1" spans="1:26" x14ac:dyDescent="0.25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</row>
    <row r="304" ht="14.25" customHeight="1" spans="1:26" x14ac:dyDescent="0.25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</row>
    <row r="305" ht="14.25" customHeight="1" spans="1:26" x14ac:dyDescent="0.25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</row>
    <row r="306" ht="14.25" customHeight="1" spans="1:26" x14ac:dyDescent="0.25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</row>
    <row r="307" ht="14.25" customHeight="1" spans="1:26" x14ac:dyDescent="0.25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</row>
    <row r="308" ht="14.25" customHeight="1" spans="1:26" x14ac:dyDescent="0.25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</row>
    <row r="309" ht="14.25" customHeight="1" spans="1:26" x14ac:dyDescent="0.25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</row>
    <row r="310" ht="14.25" customHeight="1" spans="1:26" x14ac:dyDescent="0.25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</row>
    <row r="311" ht="14.25" customHeight="1" spans="1:26" x14ac:dyDescent="0.25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</row>
    <row r="312" ht="14.25" customHeight="1" spans="1:26" x14ac:dyDescent="0.25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</row>
    <row r="313" ht="14.25" customHeight="1" spans="1:26" x14ac:dyDescent="0.25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</row>
    <row r="314" ht="14.25" customHeight="1" spans="1:26" x14ac:dyDescent="0.25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</row>
    <row r="315" ht="14.25" customHeight="1" spans="1:26" x14ac:dyDescent="0.25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</row>
    <row r="316" ht="14.25" customHeight="1" spans="1:26" x14ac:dyDescent="0.25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</row>
    <row r="317" ht="14.25" customHeight="1" spans="1:26" x14ac:dyDescent="0.25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</row>
    <row r="318" ht="14.25" customHeight="1" spans="1:26" x14ac:dyDescent="0.25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</row>
    <row r="319" ht="14.25" customHeight="1" spans="1:26" x14ac:dyDescent="0.25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</row>
    <row r="320" ht="14.25" customHeight="1" spans="1:26" x14ac:dyDescent="0.25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</row>
    <row r="321" ht="14.25" customHeight="1" spans="1:26" x14ac:dyDescent="0.25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</row>
    <row r="322" ht="14.25" customHeight="1" spans="1:26" x14ac:dyDescent="0.25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</row>
    <row r="323" ht="14.25" customHeight="1" spans="1:26" x14ac:dyDescent="0.25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</row>
    <row r="324" ht="14.25" customHeight="1" spans="1:26" x14ac:dyDescent="0.25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</row>
    <row r="325" ht="14.25" customHeight="1" spans="1:26" x14ac:dyDescent="0.25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</row>
    <row r="326" ht="14.25" customHeight="1" spans="1:26" x14ac:dyDescent="0.25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</row>
    <row r="327" ht="14.25" customHeight="1" spans="1:26" x14ac:dyDescent="0.25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</row>
    <row r="328" ht="14.25" customHeight="1" spans="1:26" x14ac:dyDescent="0.25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</row>
    <row r="329" ht="14.25" customHeight="1" spans="1:26" x14ac:dyDescent="0.25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</row>
    <row r="330" ht="14.25" customHeight="1" spans="1:26" x14ac:dyDescent="0.25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</row>
    <row r="331" ht="14.25" customHeight="1" spans="1:26" x14ac:dyDescent="0.25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</row>
    <row r="332" ht="14.25" customHeight="1" spans="1:26" x14ac:dyDescent="0.25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</row>
    <row r="333" ht="14.25" customHeight="1" spans="1:26" x14ac:dyDescent="0.25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</row>
    <row r="334" ht="14.25" customHeight="1" spans="1:26" x14ac:dyDescent="0.25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</row>
    <row r="335" ht="14.25" customHeight="1" spans="1:26" x14ac:dyDescent="0.25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</row>
    <row r="336" ht="14.25" customHeight="1" spans="1:26" x14ac:dyDescent="0.25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</row>
    <row r="337" ht="14.25" customHeight="1" spans="1:26" x14ac:dyDescent="0.25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</row>
    <row r="338" ht="14.25" customHeight="1" spans="1:26" x14ac:dyDescent="0.25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</row>
    <row r="339" ht="14.25" customHeight="1" spans="1:26" x14ac:dyDescent="0.25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</row>
    <row r="340" ht="14.25" customHeight="1" spans="1:26" x14ac:dyDescent="0.25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</row>
    <row r="341" ht="14.25" customHeight="1" spans="1:26" x14ac:dyDescent="0.25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</row>
    <row r="342" ht="14.25" customHeight="1" spans="1:26" x14ac:dyDescent="0.25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</row>
    <row r="343" ht="14.25" customHeight="1" spans="1:26" x14ac:dyDescent="0.25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</row>
    <row r="344" ht="14.25" customHeight="1" spans="1:26" x14ac:dyDescent="0.25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</row>
    <row r="345" ht="14.25" customHeight="1" spans="1:26" x14ac:dyDescent="0.25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</row>
    <row r="346" ht="14.25" customHeight="1" spans="1:26" x14ac:dyDescent="0.25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</row>
    <row r="347" ht="14.25" customHeight="1" spans="1:26" x14ac:dyDescent="0.25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</row>
    <row r="348" ht="14.25" customHeight="1" spans="1:26" x14ac:dyDescent="0.25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</row>
    <row r="349" ht="14.25" customHeight="1" spans="1:26" x14ac:dyDescent="0.25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</row>
    <row r="350" ht="14.25" customHeight="1" spans="1:26" x14ac:dyDescent="0.25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</row>
    <row r="351" ht="14.25" customHeight="1" spans="1:26" x14ac:dyDescent="0.25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</row>
    <row r="352" ht="14.25" customHeight="1" spans="1:26" x14ac:dyDescent="0.25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</row>
    <row r="353" ht="14.25" customHeight="1" spans="1:26" x14ac:dyDescent="0.25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</row>
    <row r="354" ht="14.25" customHeight="1" spans="1:26" x14ac:dyDescent="0.25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</row>
    <row r="355" ht="14.25" customHeight="1" spans="1:26" x14ac:dyDescent="0.25">
      <c r="A355" s="83"/>
      <c r="B355" s="83"/>
      <c r="C355" s="83"/>
      <c r="D355" s="83"/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</row>
    <row r="356" ht="14.25" customHeight="1" spans="1:26" x14ac:dyDescent="0.25">
      <c r="A356" s="83"/>
      <c r="B356" s="83"/>
      <c r="C356" s="83"/>
      <c r="D356" s="83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</row>
    <row r="357" ht="14.25" customHeight="1" spans="1:26" x14ac:dyDescent="0.25">
      <c r="A357" s="83"/>
      <c r="B357" s="83"/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</row>
    <row r="358" ht="14.25" customHeight="1" spans="1:26" x14ac:dyDescent="0.25">
      <c r="A358" s="83"/>
      <c r="B358" s="83"/>
      <c r="C358" s="83"/>
      <c r="D358" s="83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</row>
    <row r="359" ht="14.25" customHeight="1" spans="1:26" x14ac:dyDescent="0.25">
      <c r="A359" s="83"/>
      <c r="B359" s="83"/>
      <c r="C359" s="83"/>
      <c r="D359" s="83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</row>
    <row r="360" ht="14.25" customHeight="1" spans="1:26" x14ac:dyDescent="0.25">
      <c r="A360" s="83"/>
      <c r="B360" s="83"/>
      <c r="C360" s="83"/>
      <c r="D360" s="83"/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</row>
    <row r="361" ht="14.25" customHeight="1" spans="1:26" x14ac:dyDescent="0.25">
      <c r="A361" s="83"/>
      <c r="B361" s="83"/>
      <c r="C361" s="83"/>
      <c r="D361" s="83"/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</row>
    <row r="362" ht="14.25" customHeight="1" spans="1:26" x14ac:dyDescent="0.25">
      <c r="A362" s="83"/>
      <c r="B362" s="83"/>
      <c r="C362" s="83"/>
      <c r="D362" s="83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</row>
    <row r="363" ht="14.25" customHeight="1" spans="1:26" x14ac:dyDescent="0.25">
      <c r="A363" s="83"/>
      <c r="B363" s="83"/>
      <c r="C363" s="83"/>
      <c r="D363" s="83"/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</row>
    <row r="364" ht="14.25" customHeight="1" spans="1:26" x14ac:dyDescent="0.25">
      <c r="A364" s="83"/>
      <c r="B364" s="83"/>
      <c r="C364" s="83"/>
      <c r="D364" s="83"/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</row>
    <row r="365" ht="14.25" customHeight="1" spans="1:26" x14ac:dyDescent="0.25">
      <c r="A365" s="83"/>
      <c r="B365" s="83"/>
      <c r="C365" s="83"/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</row>
    <row r="366" ht="14.25" customHeight="1" spans="1:26" x14ac:dyDescent="0.25">
      <c r="A366" s="83"/>
      <c r="B366" s="83"/>
      <c r="C366" s="83"/>
      <c r="D366" s="8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</row>
    <row r="367" ht="14.25" customHeight="1" spans="1:26" x14ac:dyDescent="0.25">
      <c r="A367" s="83"/>
      <c r="B367" s="83"/>
      <c r="C367" s="83"/>
      <c r="D367" s="83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</row>
    <row r="368" ht="14.25" customHeight="1" spans="1:26" x14ac:dyDescent="0.25">
      <c r="A368" s="83"/>
      <c r="B368" s="83"/>
      <c r="C368" s="83"/>
      <c r="D368" s="83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</row>
    <row r="369" ht="14.25" customHeight="1" spans="1:26" x14ac:dyDescent="0.25">
      <c r="A369" s="83"/>
      <c r="B369" s="83"/>
      <c r="C369" s="83"/>
      <c r="D369" s="83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</row>
    <row r="370" ht="14.25" customHeight="1" spans="1:26" x14ac:dyDescent="0.25">
      <c r="A370" s="83"/>
      <c r="B370" s="83"/>
      <c r="C370" s="83"/>
      <c r="D370" s="83"/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</row>
    <row r="371" ht="14.25" customHeight="1" spans="1:26" x14ac:dyDescent="0.25">
      <c r="A371" s="83"/>
      <c r="B371" s="83"/>
      <c r="C371" s="83"/>
      <c r="D371" s="83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</row>
    <row r="372" ht="14.25" customHeight="1" spans="1:26" x14ac:dyDescent="0.25">
      <c r="A372" s="83"/>
      <c r="B372" s="83"/>
      <c r="C372" s="83"/>
      <c r="D372" s="83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</row>
    <row r="373" ht="14.25" customHeight="1" spans="1:26" x14ac:dyDescent="0.25">
      <c r="A373" s="83"/>
      <c r="B373" s="83"/>
      <c r="C373" s="83"/>
      <c r="D373" s="83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</row>
    <row r="374" ht="14.25" customHeight="1" spans="1:26" x14ac:dyDescent="0.25">
      <c r="A374" s="83"/>
      <c r="B374" s="83"/>
      <c r="C374" s="83"/>
      <c r="D374" s="8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</row>
    <row r="375" ht="14.25" customHeight="1" spans="1:26" x14ac:dyDescent="0.25">
      <c r="A375" s="83"/>
      <c r="B375" s="83"/>
      <c r="C375" s="83"/>
      <c r="D375" s="83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</row>
    <row r="376" ht="14.25" customHeight="1" spans="1:26" x14ac:dyDescent="0.25">
      <c r="A376" s="83"/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</row>
    <row r="377" ht="14.25" customHeight="1" spans="1:26" x14ac:dyDescent="0.25">
      <c r="A377" s="83"/>
      <c r="B377" s="83"/>
      <c r="C377" s="83"/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</row>
    <row r="378" ht="14.25" customHeight="1" spans="1:26" x14ac:dyDescent="0.25">
      <c r="A378" s="83"/>
      <c r="B378" s="83"/>
      <c r="C378" s="83"/>
      <c r="D378" s="83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</row>
    <row r="379" ht="14.25" customHeight="1" spans="1:26" x14ac:dyDescent="0.25">
      <c r="A379" s="83"/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</row>
    <row r="380" ht="14.25" customHeight="1" spans="1:26" x14ac:dyDescent="0.25">
      <c r="A380" s="83"/>
      <c r="B380" s="83"/>
      <c r="C380" s="83"/>
      <c r="D380" s="8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</row>
    <row r="381" ht="14.25" customHeight="1" spans="1:26" x14ac:dyDescent="0.25">
      <c r="A381" s="83"/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</row>
    <row r="382" ht="14.25" customHeight="1" spans="1:26" x14ac:dyDescent="0.25">
      <c r="A382" s="83"/>
      <c r="B382" s="83"/>
      <c r="C382" s="83"/>
      <c r="D382" s="83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</row>
    <row r="383" ht="14.25" customHeight="1" spans="1:26" x14ac:dyDescent="0.25">
      <c r="A383" s="83"/>
      <c r="B383" s="83"/>
      <c r="C383" s="83"/>
      <c r="D383" s="83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</row>
    <row r="384" ht="14.25" customHeight="1" spans="1:26" x14ac:dyDescent="0.25">
      <c r="A384" s="83"/>
      <c r="B384" s="83"/>
      <c r="C384" s="83"/>
      <c r="D384" s="83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</row>
    <row r="385" ht="14.25" customHeight="1" spans="1:26" x14ac:dyDescent="0.25">
      <c r="A385" s="83"/>
      <c r="B385" s="83"/>
      <c r="C385" s="83"/>
      <c r="D385" s="83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</row>
    <row r="386" ht="14.25" customHeight="1" spans="1:26" x14ac:dyDescent="0.25">
      <c r="A386" s="83"/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</row>
    <row r="387" ht="14.25" customHeight="1" spans="1:26" x14ac:dyDescent="0.25">
      <c r="A387" s="83"/>
      <c r="B387" s="83"/>
      <c r="C387" s="83"/>
      <c r="D387" s="83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</row>
    <row r="388" ht="14.25" customHeight="1" spans="1:26" x14ac:dyDescent="0.25">
      <c r="A388" s="83"/>
      <c r="B388" s="83"/>
      <c r="C388" s="83"/>
      <c r="D388" s="83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</row>
    <row r="389" ht="14.25" customHeight="1" spans="1:26" x14ac:dyDescent="0.25">
      <c r="A389" s="83"/>
      <c r="B389" s="83"/>
      <c r="C389" s="83"/>
      <c r="D389" s="83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</row>
    <row r="390" ht="14.25" customHeight="1" spans="1:26" x14ac:dyDescent="0.25">
      <c r="A390" s="83"/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</row>
    <row r="391" ht="14.25" customHeight="1" spans="1:26" x14ac:dyDescent="0.25">
      <c r="A391" s="83"/>
      <c r="B391" s="83"/>
      <c r="C391" s="83"/>
      <c r="D391" s="83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</row>
    <row r="392" ht="14.25" customHeight="1" spans="1:26" x14ac:dyDescent="0.25">
      <c r="A392" s="83"/>
      <c r="B392" s="83"/>
      <c r="C392" s="83"/>
      <c r="D392" s="83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</row>
    <row r="393" ht="14.25" customHeight="1" spans="1:26" x14ac:dyDescent="0.25">
      <c r="A393" s="83"/>
      <c r="B393" s="83"/>
      <c r="C393" s="83"/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</row>
    <row r="394" ht="14.25" customHeight="1" spans="1:26" x14ac:dyDescent="0.25">
      <c r="A394" s="83"/>
      <c r="B394" s="83"/>
      <c r="C394" s="83"/>
      <c r="D394" s="83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</row>
    <row r="395" ht="14.25" customHeight="1" spans="1:26" x14ac:dyDescent="0.25">
      <c r="A395" s="83"/>
      <c r="B395" s="83"/>
      <c r="C395" s="83"/>
      <c r="D395" s="83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</row>
    <row r="396" ht="14.25" customHeight="1" spans="1:26" x14ac:dyDescent="0.25">
      <c r="A396" s="83"/>
      <c r="B396" s="83"/>
      <c r="C396" s="83"/>
      <c r="D396" s="83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</row>
    <row r="397" ht="14.25" customHeight="1" spans="1:26" x14ac:dyDescent="0.25">
      <c r="A397" s="83"/>
      <c r="B397" s="83"/>
      <c r="C397" s="83"/>
      <c r="D397" s="83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</row>
    <row r="398" ht="14.25" customHeight="1" spans="1:26" x14ac:dyDescent="0.25">
      <c r="A398" s="83"/>
      <c r="B398" s="83"/>
      <c r="C398" s="83"/>
      <c r="D398" s="83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</row>
    <row r="399" ht="14.25" customHeight="1" spans="1:26" x14ac:dyDescent="0.25">
      <c r="A399" s="83"/>
      <c r="B399" s="83"/>
      <c r="C399" s="83"/>
      <c r="D399" s="83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</row>
    <row r="400" ht="14.25" customHeight="1" spans="1:26" x14ac:dyDescent="0.25">
      <c r="A400" s="83"/>
      <c r="B400" s="83"/>
      <c r="C400" s="83"/>
      <c r="D400" s="83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</row>
    <row r="401" ht="14.25" customHeight="1" spans="1:26" x14ac:dyDescent="0.25">
      <c r="A401" s="83"/>
      <c r="B401" s="83"/>
      <c r="C401" s="83"/>
      <c r="D401" s="83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</row>
    <row r="402" ht="14.25" customHeight="1" spans="1:26" x14ac:dyDescent="0.25">
      <c r="A402" s="83"/>
      <c r="B402" s="83"/>
      <c r="C402" s="83"/>
      <c r="D402" s="83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</row>
    <row r="403" ht="14.25" customHeight="1" spans="1:26" x14ac:dyDescent="0.25">
      <c r="A403" s="83"/>
      <c r="B403" s="83"/>
      <c r="C403" s="83"/>
      <c r="D403" s="83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</row>
    <row r="404" ht="14.25" customHeight="1" spans="1:26" x14ac:dyDescent="0.25">
      <c r="A404" s="83"/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</row>
    <row r="405" ht="14.25" customHeight="1" spans="1:26" x14ac:dyDescent="0.25">
      <c r="A405" s="83"/>
      <c r="B405" s="83"/>
      <c r="C405" s="83"/>
      <c r="D405" s="83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</row>
    <row r="406" ht="14.25" customHeight="1" spans="1:26" x14ac:dyDescent="0.25">
      <c r="A406" s="83"/>
      <c r="B406" s="83"/>
      <c r="C406" s="83"/>
      <c r="D406" s="83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</row>
    <row r="407" ht="14.25" customHeight="1" spans="1:26" x14ac:dyDescent="0.25">
      <c r="A407" s="83"/>
      <c r="B407" s="83"/>
      <c r="C407" s="83"/>
      <c r="D407" s="8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</row>
    <row r="408" ht="14.25" customHeight="1" spans="1:26" x14ac:dyDescent="0.25">
      <c r="A408" s="83"/>
      <c r="B408" s="83"/>
      <c r="C408" s="83"/>
      <c r="D408" s="83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</row>
    <row r="409" ht="14.25" customHeight="1" spans="1:26" x14ac:dyDescent="0.25">
      <c r="A409" s="83"/>
      <c r="B409" s="83"/>
      <c r="C409" s="83"/>
      <c r="D409" s="8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</row>
    <row r="410" ht="14.25" customHeight="1" spans="1:26" x14ac:dyDescent="0.25">
      <c r="A410" s="83"/>
      <c r="B410" s="83"/>
      <c r="C410" s="83"/>
      <c r="D410" s="83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</row>
    <row r="411" ht="14.25" customHeight="1" spans="1:26" x14ac:dyDescent="0.25">
      <c r="A411" s="83"/>
      <c r="B411" s="83"/>
      <c r="C411" s="83"/>
      <c r="D411" s="83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</row>
    <row r="412" ht="14.25" customHeight="1" spans="1:26" x14ac:dyDescent="0.25">
      <c r="A412" s="83"/>
      <c r="B412" s="83"/>
      <c r="C412" s="83"/>
      <c r="D412" s="83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</row>
    <row r="413" ht="14.25" customHeight="1" spans="1:26" x14ac:dyDescent="0.25">
      <c r="A413" s="83"/>
      <c r="B413" s="83"/>
      <c r="C413" s="83"/>
      <c r="D413" s="83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</row>
    <row r="414" ht="14.25" customHeight="1" spans="1:26" x14ac:dyDescent="0.25">
      <c r="A414" s="83"/>
      <c r="B414" s="83"/>
      <c r="C414" s="83"/>
      <c r="D414" s="83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</row>
    <row r="415" ht="14.25" customHeight="1" spans="1:26" x14ac:dyDescent="0.25">
      <c r="A415" s="83"/>
      <c r="B415" s="83"/>
      <c r="C415" s="83"/>
      <c r="D415" s="83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</row>
    <row r="416" ht="14.25" customHeight="1" spans="1:26" x14ac:dyDescent="0.25">
      <c r="A416" s="83"/>
      <c r="B416" s="83"/>
      <c r="C416" s="83"/>
      <c r="D416" s="83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</row>
    <row r="417" ht="14.25" customHeight="1" spans="1:26" x14ac:dyDescent="0.25">
      <c r="A417" s="83"/>
      <c r="B417" s="83"/>
      <c r="C417" s="83"/>
      <c r="D417" s="83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</row>
    <row r="418" ht="14.25" customHeight="1" spans="1:26" x14ac:dyDescent="0.25">
      <c r="A418" s="83"/>
      <c r="B418" s="83"/>
      <c r="C418" s="83"/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</row>
    <row r="419" ht="14.25" customHeight="1" spans="1:26" x14ac:dyDescent="0.25">
      <c r="A419" s="83"/>
      <c r="B419" s="83"/>
      <c r="C419" s="83"/>
      <c r="D419" s="83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</row>
    <row r="420" ht="14.25" customHeight="1" spans="1:26" x14ac:dyDescent="0.25">
      <c r="A420" s="83"/>
      <c r="B420" s="83"/>
      <c r="C420" s="83"/>
      <c r="D420" s="83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</row>
    <row r="421" ht="14.25" customHeight="1" spans="1:26" x14ac:dyDescent="0.25">
      <c r="A421" s="83"/>
      <c r="B421" s="83"/>
      <c r="C421" s="83"/>
      <c r="D421" s="8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</row>
    <row r="422" ht="14.25" customHeight="1" spans="1:26" x14ac:dyDescent="0.25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</row>
    <row r="423" ht="14.25" customHeight="1" spans="1:26" x14ac:dyDescent="0.25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</row>
    <row r="424" ht="14.25" customHeight="1" spans="1:26" x14ac:dyDescent="0.25">
      <c r="A424" s="83"/>
      <c r="B424" s="83"/>
      <c r="C424" s="83"/>
      <c r="D424" s="8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</row>
    <row r="425" ht="14.25" customHeight="1" spans="1:26" x14ac:dyDescent="0.25">
      <c r="A425" s="83"/>
      <c r="B425" s="83"/>
      <c r="C425" s="83"/>
      <c r="D425" s="83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</row>
    <row r="426" ht="14.25" customHeight="1" spans="1:26" x14ac:dyDescent="0.25">
      <c r="A426" s="83"/>
      <c r="B426" s="83"/>
      <c r="C426" s="83"/>
      <c r="D426" s="83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</row>
    <row r="427" ht="14.25" customHeight="1" spans="1:26" x14ac:dyDescent="0.25">
      <c r="A427" s="83"/>
      <c r="B427" s="83"/>
      <c r="C427" s="83"/>
      <c r="D427" s="83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</row>
    <row r="428" ht="14.25" customHeight="1" spans="1:26" x14ac:dyDescent="0.25">
      <c r="A428" s="83"/>
      <c r="B428" s="83"/>
      <c r="C428" s="83"/>
      <c r="D428" s="83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</row>
    <row r="429" ht="14.25" customHeight="1" spans="1:26" x14ac:dyDescent="0.25">
      <c r="A429" s="83"/>
      <c r="B429" s="83"/>
      <c r="C429" s="83"/>
      <c r="D429" s="8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</row>
    <row r="430" ht="14.25" customHeight="1" spans="1:26" x14ac:dyDescent="0.25">
      <c r="A430" s="83"/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</row>
    <row r="431" ht="14.25" customHeight="1" spans="1:26" x14ac:dyDescent="0.25">
      <c r="A431" s="83"/>
      <c r="B431" s="83"/>
      <c r="C431" s="83"/>
      <c r="D431" s="83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</row>
    <row r="432" ht="14.25" customHeight="1" spans="1:26" x14ac:dyDescent="0.25">
      <c r="A432" s="83"/>
      <c r="B432" s="83"/>
      <c r="C432" s="83"/>
      <c r="D432" s="83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</row>
    <row r="433" ht="14.25" customHeight="1" spans="1:26" x14ac:dyDescent="0.25">
      <c r="A433" s="83"/>
      <c r="B433" s="83"/>
      <c r="C433" s="83"/>
      <c r="D433" s="83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</row>
    <row r="434" ht="14.25" customHeight="1" spans="1:26" x14ac:dyDescent="0.25">
      <c r="A434" s="83"/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</row>
    <row r="435" ht="14.25" customHeight="1" spans="1:26" x14ac:dyDescent="0.25">
      <c r="A435" s="83"/>
      <c r="B435" s="83"/>
      <c r="C435" s="83"/>
      <c r="D435" s="83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</row>
    <row r="436" ht="14.25" customHeight="1" spans="1:26" x14ac:dyDescent="0.25">
      <c r="A436" s="83"/>
      <c r="B436" s="83"/>
      <c r="C436" s="83"/>
      <c r="D436" s="83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</row>
    <row r="437" ht="14.25" customHeight="1" spans="1:26" x14ac:dyDescent="0.25">
      <c r="A437" s="83"/>
      <c r="B437" s="83"/>
      <c r="C437" s="83"/>
      <c r="D437" s="83"/>
      <c r="E437" s="83"/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</row>
    <row r="438" ht="14.25" customHeight="1" spans="1:26" x14ac:dyDescent="0.25">
      <c r="A438" s="83"/>
      <c r="B438" s="83"/>
      <c r="C438" s="83"/>
      <c r="D438" s="83"/>
      <c r="E438" s="83"/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</row>
    <row r="439" ht="14.25" customHeight="1" spans="1:26" x14ac:dyDescent="0.25">
      <c r="A439" s="83"/>
      <c r="B439" s="83"/>
      <c r="C439" s="83"/>
      <c r="D439" s="8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</row>
    <row r="440" ht="14.25" customHeight="1" spans="1:26" x14ac:dyDescent="0.25">
      <c r="A440" s="83"/>
      <c r="B440" s="83"/>
      <c r="C440" s="83"/>
      <c r="D440" s="83"/>
      <c r="E440" s="83"/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</row>
    <row r="441" ht="14.25" customHeight="1" spans="1:26" x14ac:dyDescent="0.25">
      <c r="A441" s="83"/>
      <c r="B441" s="83"/>
      <c r="C441" s="83"/>
      <c r="D441" s="83"/>
      <c r="E441" s="83"/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</row>
    <row r="442" ht="14.25" customHeight="1" spans="1:26" x14ac:dyDescent="0.25">
      <c r="A442" s="83"/>
      <c r="B442" s="83"/>
      <c r="C442" s="83"/>
      <c r="D442" s="83"/>
      <c r="E442" s="83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</row>
    <row r="443" ht="14.25" customHeight="1" spans="1:26" x14ac:dyDescent="0.25">
      <c r="A443" s="83"/>
      <c r="B443" s="83"/>
      <c r="C443" s="83"/>
      <c r="D443" s="83"/>
      <c r="E443" s="83"/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</row>
    <row r="444" ht="14.25" customHeight="1" spans="1:26" x14ac:dyDescent="0.25">
      <c r="A444" s="83"/>
      <c r="B444" s="83"/>
      <c r="C444" s="83"/>
      <c r="D444" s="83"/>
      <c r="E444" s="83"/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</row>
    <row r="445" ht="14.25" customHeight="1" spans="1:26" x14ac:dyDescent="0.25">
      <c r="A445" s="83"/>
      <c r="B445" s="83"/>
      <c r="C445" s="83"/>
      <c r="D445" s="83"/>
      <c r="E445" s="83"/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</row>
    <row r="446" ht="14.25" customHeight="1" spans="1:26" x14ac:dyDescent="0.25">
      <c r="A446" s="83"/>
      <c r="B446" s="83"/>
      <c r="C446" s="83"/>
      <c r="D446" s="83"/>
      <c r="E446" s="83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</row>
    <row r="447" ht="14.25" customHeight="1" spans="1:26" x14ac:dyDescent="0.25">
      <c r="A447" s="83"/>
      <c r="B447" s="83"/>
      <c r="C447" s="83"/>
      <c r="D447" s="83"/>
      <c r="E447" s="83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</row>
    <row r="448" ht="14.25" customHeight="1" spans="1:26" x14ac:dyDescent="0.25">
      <c r="A448" s="83"/>
      <c r="B448" s="83"/>
      <c r="C448" s="83"/>
      <c r="D448" s="83"/>
      <c r="E448" s="83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</row>
    <row r="449" ht="14.25" customHeight="1" spans="1:26" x14ac:dyDescent="0.25">
      <c r="A449" s="83"/>
      <c r="B449" s="83"/>
      <c r="C449" s="83"/>
      <c r="D449" s="83"/>
      <c r="E449" s="83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</row>
    <row r="450" ht="14.25" customHeight="1" spans="1:26" x14ac:dyDescent="0.25">
      <c r="A450" s="83"/>
      <c r="B450" s="83"/>
      <c r="C450" s="83"/>
      <c r="D450" s="83"/>
      <c r="E450" s="83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</row>
    <row r="451" ht="14.25" customHeight="1" spans="1:26" x14ac:dyDescent="0.25">
      <c r="A451" s="83"/>
      <c r="B451" s="83"/>
      <c r="C451" s="83"/>
      <c r="D451" s="83"/>
      <c r="E451" s="83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</row>
    <row r="452" ht="14.25" customHeight="1" spans="1:26" x14ac:dyDescent="0.25">
      <c r="A452" s="83"/>
      <c r="B452" s="83"/>
      <c r="C452" s="83"/>
      <c r="D452" s="83"/>
      <c r="E452" s="83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</row>
    <row r="453" ht="14.25" customHeight="1" spans="1:26" x14ac:dyDescent="0.25">
      <c r="A453" s="83"/>
      <c r="B453" s="83"/>
      <c r="C453" s="83"/>
      <c r="D453" s="83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</row>
    <row r="454" ht="14.25" customHeight="1" spans="1:26" x14ac:dyDescent="0.25">
      <c r="A454" s="83"/>
      <c r="B454" s="83"/>
      <c r="C454" s="83"/>
      <c r="D454" s="83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</row>
    <row r="455" ht="14.25" customHeight="1" spans="1:26" x14ac:dyDescent="0.25">
      <c r="A455" s="83"/>
      <c r="B455" s="83"/>
      <c r="C455" s="83"/>
      <c r="D455" s="83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</row>
    <row r="456" ht="14.25" customHeight="1" spans="1:26" x14ac:dyDescent="0.25">
      <c r="A456" s="83"/>
      <c r="B456" s="83"/>
      <c r="C456" s="83"/>
      <c r="D456" s="83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</row>
    <row r="457" ht="14.25" customHeight="1" spans="1:26" x14ac:dyDescent="0.25">
      <c r="A457" s="83"/>
      <c r="B457" s="83"/>
      <c r="C457" s="83"/>
      <c r="D457" s="83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</row>
    <row r="458" ht="14.25" customHeight="1" spans="1:26" x14ac:dyDescent="0.25">
      <c r="A458" s="83"/>
      <c r="B458" s="83"/>
      <c r="C458" s="83"/>
      <c r="D458" s="83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</row>
    <row r="459" ht="14.25" customHeight="1" spans="1:26" x14ac:dyDescent="0.25">
      <c r="A459" s="83"/>
      <c r="B459" s="83"/>
      <c r="C459" s="83"/>
      <c r="D459" s="83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</row>
    <row r="460" ht="14.25" customHeight="1" spans="1:26" x14ac:dyDescent="0.25">
      <c r="A460" s="83"/>
      <c r="B460" s="83"/>
      <c r="C460" s="83"/>
      <c r="D460" s="83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</row>
    <row r="461" ht="14.25" customHeight="1" spans="1:26" x14ac:dyDescent="0.25">
      <c r="A461" s="83"/>
      <c r="B461" s="83"/>
      <c r="C461" s="83"/>
      <c r="D461" s="83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</row>
    <row r="462" ht="14.25" customHeight="1" spans="1:26" x14ac:dyDescent="0.25">
      <c r="A462" s="83"/>
      <c r="B462" s="83"/>
      <c r="C462" s="83"/>
      <c r="D462" s="83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</row>
    <row r="463" ht="14.25" customHeight="1" spans="1:26" x14ac:dyDescent="0.25">
      <c r="A463" s="83"/>
      <c r="B463" s="83"/>
      <c r="C463" s="83"/>
      <c r="D463" s="83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</row>
    <row r="464" ht="14.25" customHeight="1" spans="1:26" x14ac:dyDescent="0.25">
      <c r="A464" s="83"/>
      <c r="B464" s="83"/>
      <c r="C464" s="83"/>
      <c r="D464" s="83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</row>
    <row r="465" ht="14.25" customHeight="1" spans="1:26" x14ac:dyDescent="0.25">
      <c r="A465" s="83"/>
      <c r="B465" s="83"/>
      <c r="C465" s="83"/>
      <c r="D465" s="83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</row>
    <row r="466" ht="14.25" customHeight="1" spans="1:26" x14ac:dyDescent="0.25">
      <c r="A466" s="83"/>
      <c r="B466" s="83"/>
      <c r="C466" s="83"/>
      <c r="D466" s="83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</row>
    <row r="467" ht="14.25" customHeight="1" spans="1:26" x14ac:dyDescent="0.25">
      <c r="A467" s="83"/>
      <c r="B467" s="83"/>
      <c r="C467" s="83"/>
      <c r="D467" s="8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</row>
    <row r="468" ht="14.25" customHeight="1" spans="1:26" x14ac:dyDescent="0.25">
      <c r="A468" s="83"/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</row>
    <row r="469" ht="14.25" customHeight="1" spans="1:26" x14ac:dyDescent="0.25">
      <c r="A469" s="83"/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</row>
    <row r="470" ht="14.25" customHeight="1" spans="1:26" x14ac:dyDescent="0.25">
      <c r="A470" s="83"/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</row>
    <row r="471" ht="14.25" customHeight="1" spans="1:26" x14ac:dyDescent="0.25">
      <c r="A471" s="83"/>
      <c r="B471" s="83"/>
      <c r="C471" s="83"/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</row>
    <row r="472" ht="14.25" customHeight="1" spans="1:26" x14ac:dyDescent="0.25">
      <c r="A472" s="83"/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</row>
    <row r="473" ht="14.25" customHeight="1" spans="1:26" x14ac:dyDescent="0.25">
      <c r="A473" s="83"/>
      <c r="B473" s="83"/>
      <c r="C473" s="83"/>
      <c r="D473" s="83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</row>
    <row r="474" ht="14.25" customHeight="1" spans="1:26" x14ac:dyDescent="0.25">
      <c r="A474" s="83"/>
      <c r="B474" s="83"/>
      <c r="C474" s="83"/>
      <c r="D474" s="83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</row>
    <row r="475" ht="14.25" customHeight="1" spans="1:26" x14ac:dyDescent="0.25">
      <c r="A475" s="83"/>
      <c r="B475" s="83"/>
      <c r="C475" s="83"/>
      <c r="D475" s="83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</row>
    <row r="476" ht="14.25" customHeight="1" spans="1:26" x14ac:dyDescent="0.25">
      <c r="A476" s="83"/>
      <c r="B476" s="83"/>
      <c r="C476" s="83"/>
      <c r="D476" s="83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</row>
    <row r="477" ht="14.25" customHeight="1" spans="1:26" x14ac:dyDescent="0.25">
      <c r="A477" s="83"/>
      <c r="B477" s="83"/>
      <c r="C477" s="83"/>
      <c r="D477" s="8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</row>
    <row r="478" ht="14.25" customHeight="1" spans="1:26" x14ac:dyDescent="0.25">
      <c r="A478" s="83"/>
      <c r="B478" s="83"/>
      <c r="C478" s="83"/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</row>
    <row r="479" ht="14.25" customHeight="1" spans="1:26" x14ac:dyDescent="0.25">
      <c r="A479" s="83"/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</row>
    <row r="480" ht="14.25" customHeight="1" spans="1:26" x14ac:dyDescent="0.25">
      <c r="A480" s="83"/>
      <c r="B480" s="83"/>
      <c r="C480" s="83"/>
      <c r="D480" s="83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</row>
    <row r="481" ht="14.25" customHeight="1" spans="1:26" x14ac:dyDescent="0.25">
      <c r="A481" s="83"/>
      <c r="B481" s="83"/>
      <c r="C481" s="83"/>
      <c r="D481" s="83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</row>
    <row r="482" ht="14.25" customHeight="1" spans="1:26" x14ac:dyDescent="0.25">
      <c r="A482" s="83"/>
      <c r="B482" s="83"/>
      <c r="C482" s="83"/>
      <c r="D482" s="83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</row>
    <row r="483" ht="14.25" customHeight="1" spans="1:26" x14ac:dyDescent="0.25">
      <c r="A483" s="83"/>
      <c r="B483" s="83"/>
      <c r="C483" s="83"/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</row>
    <row r="484" ht="14.25" customHeight="1" spans="1:26" x14ac:dyDescent="0.25">
      <c r="A484" s="83"/>
      <c r="B484" s="83"/>
      <c r="C484" s="83"/>
      <c r="D484" s="83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</row>
    <row r="485" ht="14.25" customHeight="1" spans="1:26" x14ac:dyDescent="0.25">
      <c r="A485" s="83"/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</row>
    <row r="486" ht="14.25" customHeight="1" spans="1:26" x14ac:dyDescent="0.25">
      <c r="A486" s="83"/>
      <c r="B486" s="83"/>
      <c r="C486" s="83"/>
      <c r="D486" s="83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</row>
    <row r="487" ht="14.25" customHeight="1" spans="1:26" x14ac:dyDescent="0.25">
      <c r="A487" s="83"/>
      <c r="B487" s="83"/>
      <c r="C487" s="83"/>
      <c r="D487" s="83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</row>
    <row r="488" ht="14.25" customHeight="1" spans="1:26" x14ac:dyDescent="0.25">
      <c r="A488" s="83"/>
      <c r="B488" s="83"/>
      <c r="C488" s="83"/>
      <c r="D488" s="83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</row>
    <row r="489" ht="14.25" customHeight="1" spans="1:26" x14ac:dyDescent="0.25">
      <c r="A489" s="83"/>
      <c r="B489" s="83"/>
      <c r="C489" s="83"/>
      <c r="D489" s="83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</row>
    <row r="490" ht="14.25" customHeight="1" spans="1:26" x14ac:dyDescent="0.25">
      <c r="A490" s="83"/>
      <c r="B490" s="83"/>
      <c r="C490" s="83"/>
      <c r="D490" s="83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</row>
    <row r="491" ht="14.25" customHeight="1" spans="1:26" x14ac:dyDescent="0.25">
      <c r="A491" s="83"/>
      <c r="B491" s="83"/>
      <c r="C491" s="83"/>
      <c r="D491" s="83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</row>
    <row r="492" ht="14.25" customHeight="1" spans="1:26" x14ac:dyDescent="0.25">
      <c r="A492" s="83"/>
      <c r="B492" s="83"/>
      <c r="C492" s="83"/>
      <c r="D492" s="83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</row>
    <row r="493" ht="14.25" customHeight="1" spans="1:26" x14ac:dyDescent="0.25">
      <c r="A493" s="83"/>
      <c r="B493" s="83"/>
      <c r="C493" s="83"/>
      <c r="D493" s="83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</row>
    <row r="494" ht="14.25" customHeight="1" spans="1:26" x14ac:dyDescent="0.25">
      <c r="A494" s="83"/>
      <c r="B494" s="83"/>
      <c r="C494" s="83"/>
      <c r="D494" s="83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</row>
    <row r="495" ht="14.25" customHeight="1" spans="1:26" x14ac:dyDescent="0.25">
      <c r="A495" s="83"/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</row>
    <row r="496" ht="14.25" customHeight="1" spans="1:26" x14ac:dyDescent="0.25">
      <c r="A496" s="83"/>
      <c r="B496" s="83"/>
      <c r="C496" s="83"/>
      <c r="D496" s="83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</row>
    <row r="497" ht="14.25" customHeight="1" spans="1:26" x14ac:dyDescent="0.25">
      <c r="A497" s="83"/>
      <c r="B497" s="83"/>
      <c r="C497" s="83"/>
      <c r="D497" s="83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</row>
    <row r="498" ht="14.25" customHeight="1" spans="1:26" x14ac:dyDescent="0.25">
      <c r="A498" s="83"/>
      <c r="B498" s="83"/>
      <c r="C498" s="83"/>
      <c r="D498" s="83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</row>
    <row r="499" ht="14.25" customHeight="1" spans="1:26" x14ac:dyDescent="0.25">
      <c r="A499" s="83"/>
      <c r="B499" s="83"/>
      <c r="C499" s="83"/>
      <c r="D499" s="83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</row>
    <row r="500" ht="14.25" customHeight="1" spans="1:26" x14ac:dyDescent="0.25">
      <c r="A500" s="83"/>
      <c r="B500" s="83"/>
      <c r="C500" s="83"/>
      <c r="D500" s="83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</row>
    <row r="501" ht="14.25" customHeight="1" spans="1:26" x14ac:dyDescent="0.25">
      <c r="A501" s="83"/>
      <c r="B501" s="83"/>
      <c r="C501" s="83"/>
      <c r="D501" s="83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</row>
    <row r="502" ht="14.25" customHeight="1" spans="1:26" x14ac:dyDescent="0.25">
      <c r="A502" s="83"/>
      <c r="B502" s="83"/>
      <c r="C502" s="83"/>
      <c r="D502" s="83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</row>
    <row r="503" ht="14.25" customHeight="1" spans="1:26" x14ac:dyDescent="0.25">
      <c r="A503" s="83"/>
      <c r="B503" s="83"/>
      <c r="C503" s="83"/>
      <c r="D503" s="83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</row>
    <row r="504" ht="14.25" customHeight="1" spans="1:26" x14ac:dyDescent="0.25">
      <c r="A504" s="83"/>
      <c r="B504" s="83"/>
      <c r="C504" s="83"/>
      <c r="D504" s="83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</row>
    <row r="505" ht="14.25" customHeight="1" spans="1:26" x14ac:dyDescent="0.25">
      <c r="A505" s="83"/>
      <c r="B505" s="83"/>
      <c r="C505" s="83"/>
      <c r="D505" s="83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</row>
    <row r="506" ht="14.25" customHeight="1" spans="1:26" x14ac:dyDescent="0.25">
      <c r="A506" s="83"/>
      <c r="B506" s="83"/>
      <c r="C506" s="83"/>
      <c r="D506" s="83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</row>
    <row r="507" ht="14.25" customHeight="1" spans="1:26" x14ac:dyDescent="0.25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</row>
    <row r="508" ht="14.25" customHeight="1" spans="1:26" x14ac:dyDescent="0.25">
      <c r="A508" s="83"/>
      <c r="B508" s="83"/>
      <c r="C508" s="83"/>
      <c r="D508" s="83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</row>
    <row r="509" ht="14.25" customHeight="1" spans="1:26" x14ac:dyDescent="0.25">
      <c r="A509" s="83"/>
      <c r="B509" s="83"/>
      <c r="C509" s="83"/>
      <c r="D509" s="83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</row>
    <row r="510" ht="14.25" customHeight="1" spans="1:26" x14ac:dyDescent="0.25">
      <c r="A510" s="83"/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</row>
    <row r="511" ht="14.25" customHeight="1" spans="1:26" x14ac:dyDescent="0.25">
      <c r="A511" s="83"/>
      <c r="B511" s="83"/>
      <c r="C511" s="83"/>
      <c r="D511" s="83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</row>
    <row r="512" ht="14.25" customHeight="1" spans="1:26" x14ac:dyDescent="0.25">
      <c r="A512" s="83"/>
      <c r="B512" s="83"/>
      <c r="C512" s="83"/>
      <c r="D512" s="83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</row>
    <row r="513" ht="14.25" customHeight="1" spans="1:26" x14ac:dyDescent="0.25">
      <c r="A513" s="83"/>
      <c r="B513" s="83"/>
      <c r="C513" s="83"/>
      <c r="D513" s="83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</row>
    <row r="514" ht="14.25" customHeight="1" spans="1:26" x14ac:dyDescent="0.25">
      <c r="A514" s="83"/>
      <c r="B514" s="83"/>
      <c r="C514" s="83"/>
      <c r="D514" s="83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</row>
    <row r="515" ht="14.25" customHeight="1" spans="1:26" x14ac:dyDescent="0.25">
      <c r="A515" s="83"/>
      <c r="B515" s="83"/>
      <c r="C515" s="83"/>
      <c r="D515" s="83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</row>
    <row r="516" ht="14.25" customHeight="1" spans="1:26" x14ac:dyDescent="0.25">
      <c r="A516" s="83"/>
      <c r="B516" s="83"/>
      <c r="C516" s="83"/>
      <c r="D516" s="83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</row>
    <row r="517" ht="14.25" customHeight="1" spans="1:26" x14ac:dyDescent="0.25">
      <c r="A517" s="83"/>
      <c r="B517" s="83"/>
      <c r="C517" s="83"/>
      <c r="D517" s="83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</row>
    <row r="518" ht="14.25" customHeight="1" spans="1:26" x14ac:dyDescent="0.25">
      <c r="A518" s="83"/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</row>
    <row r="519" ht="14.25" customHeight="1" spans="1:26" x14ac:dyDescent="0.25">
      <c r="A519" s="83"/>
      <c r="B519" s="83"/>
      <c r="C519" s="83"/>
      <c r="D519" s="83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</row>
    <row r="520" ht="14.25" customHeight="1" spans="1:26" x14ac:dyDescent="0.25">
      <c r="A520" s="83"/>
      <c r="B520" s="83"/>
      <c r="C520" s="83"/>
      <c r="D520" s="83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</row>
    <row r="521" ht="14.25" customHeight="1" spans="1:26" x14ac:dyDescent="0.25">
      <c r="A521" s="83"/>
      <c r="B521" s="83"/>
      <c r="C521" s="83"/>
      <c r="D521" s="83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</row>
    <row r="522" ht="14.25" customHeight="1" spans="1:26" x14ac:dyDescent="0.25">
      <c r="A522" s="83"/>
      <c r="B522" s="83"/>
      <c r="C522" s="83"/>
      <c r="D522" s="83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</row>
    <row r="523" ht="14.25" customHeight="1" spans="1:26" x14ac:dyDescent="0.25">
      <c r="A523" s="83"/>
      <c r="B523" s="83"/>
      <c r="C523" s="83"/>
      <c r="D523" s="83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</row>
    <row r="524" ht="14.25" customHeight="1" spans="1:26" x14ac:dyDescent="0.25">
      <c r="A524" s="83"/>
      <c r="B524" s="83"/>
      <c r="C524" s="83"/>
      <c r="D524" s="83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</row>
    <row r="525" ht="14.25" customHeight="1" spans="1:26" x14ac:dyDescent="0.25">
      <c r="A525" s="83"/>
      <c r="B525" s="83"/>
      <c r="C525" s="83"/>
      <c r="D525" s="83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</row>
    <row r="526" ht="14.25" customHeight="1" spans="1:26" x14ac:dyDescent="0.25">
      <c r="A526" s="83"/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</row>
    <row r="527" ht="14.25" customHeight="1" spans="1:26" x14ac:dyDescent="0.25">
      <c r="A527" s="83"/>
      <c r="B527" s="83"/>
      <c r="C527" s="83"/>
      <c r="D527" s="83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</row>
    <row r="528" ht="14.25" customHeight="1" spans="1:26" x14ac:dyDescent="0.25">
      <c r="A528" s="83"/>
      <c r="B528" s="83"/>
      <c r="C528" s="83"/>
      <c r="D528" s="83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</row>
    <row r="529" ht="14.25" customHeight="1" spans="1:26" x14ac:dyDescent="0.25">
      <c r="A529" s="83"/>
      <c r="B529" s="83"/>
      <c r="C529" s="83"/>
      <c r="D529" s="83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</row>
    <row r="530" ht="14.25" customHeight="1" spans="1:26" x14ac:dyDescent="0.25">
      <c r="A530" s="83"/>
      <c r="B530" s="83"/>
      <c r="C530" s="83"/>
      <c r="D530" s="83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83"/>
      <c r="Z530" s="83"/>
    </row>
    <row r="531" ht="14.25" customHeight="1" spans="1:26" x14ac:dyDescent="0.25">
      <c r="A531" s="83"/>
      <c r="B531" s="83"/>
      <c r="C531" s="83"/>
      <c r="D531" s="8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</row>
    <row r="532" ht="14.25" customHeight="1" spans="1:26" x14ac:dyDescent="0.25">
      <c r="A532" s="83"/>
      <c r="B532" s="83"/>
      <c r="C532" s="83"/>
      <c r="D532" s="83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</row>
    <row r="533" ht="14.25" customHeight="1" spans="1:26" x14ac:dyDescent="0.25">
      <c r="A533" s="83"/>
      <c r="B533" s="83"/>
      <c r="C533" s="83"/>
      <c r="D533" s="83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</row>
    <row r="534" ht="14.25" customHeight="1" spans="1:26" x14ac:dyDescent="0.25">
      <c r="A534" s="83"/>
      <c r="B534" s="83"/>
      <c r="C534" s="83"/>
      <c r="D534" s="83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</row>
    <row r="535" ht="14.25" customHeight="1" spans="1:26" x14ac:dyDescent="0.25">
      <c r="A535" s="83"/>
      <c r="B535" s="83"/>
      <c r="C535" s="83"/>
      <c r="D535" s="83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</row>
    <row r="536" ht="14.25" customHeight="1" spans="1:26" x14ac:dyDescent="0.25">
      <c r="A536" s="83"/>
      <c r="B536" s="83"/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</row>
    <row r="537" ht="14.25" customHeight="1" spans="1:26" x14ac:dyDescent="0.25">
      <c r="A537" s="83"/>
      <c r="B537" s="83"/>
      <c r="C537" s="83"/>
      <c r="D537" s="83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</row>
    <row r="538" ht="14.25" customHeight="1" spans="1:26" x14ac:dyDescent="0.25">
      <c r="A538" s="83"/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</row>
    <row r="539" ht="14.25" customHeight="1" spans="1:26" x14ac:dyDescent="0.25">
      <c r="A539" s="83"/>
      <c r="B539" s="83"/>
      <c r="C539" s="83"/>
      <c r="D539" s="8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</row>
    <row r="540" ht="14.25" customHeight="1" spans="1:26" x14ac:dyDescent="0.25">
      <c r="A540" s="83"/>
      <c r="B540" s="83"/>
      <c r="C540" s="83"/>
      <c r="D540" s="83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</row>
    <row r="541" ht="14.25" customHeight="1" spans="1:26" x14ac:dyDescent="0.25">
      <c r="A541" s="83"/>
      <c r="B541" s="83"/>
      <c r="C541" s="83"/>
      <c r="D541" s="83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</row>
    <row r="542" ht="14.25" customHeight="1" spans="1:26" x14ac:dyDescent="0.25">
      <c r="A542" s="83"/>
      <c r="B542" s="83"/>
      <c r="C542" s="83"/>
      <c r="D542" s="83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</row>
    <row r="543" ht="14.25" customHeight="1" spans="1:26" x14ac:dyDescent="0.25">
      <c r="A543" s="83"/>
      <c r="B543" s="83"/>
      <c r="C543" s="83"/>
      <c r="D543" s="83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</row>
    <row r="544" ht="14.25" customHeight="1" spans="1:26" x14ac:dyDescent="0.25">
      <c r="A544" s="83"/>
      <c r="B544" s="83"/>
      <c r="C544" s="83"/>
      <c r="D544" s="83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</row>
    <row r="545" ht="14.25" customHeight="1" spans="1:26" x14ac:dyDescent="0.25">
      <c r="A545" s="83"/>
      <c r="B545" s="83"/>
      <c r="C545" s="83"/>
      <c r="D545" s="83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</row>
    <row r="546" ht="14.25" customHeight="1" spans="1:26" x14ac:dyDescent="0.25">
      <c r="A546" s="83"/>
      <c r="B546" s="83"/>
      <c r="C546" s="83"/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</row>
    <row r="547" ht="14.25" customHeight="1" spans="1:26" x14ac:dyDescent="0.25">
      <c r="A547" s="83"/>
      <c r="B547" s="83"/>
      <c r="C547" s="83"/>
      <c r="D547" s="83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</row>
    <row r="548" ht="14.25" customHeight="1" spans="1:26" x14ac:dyDescent="0.25">
      <c r="A548" s="83"/>
      <c r="B548" s="83"/>
      <c r="C548" s="83"/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</row>
    <row r="549" ht="14.25" customHeight="1" spans="1:26" x14ac:dyDescent="0.25">
      <c r="A549" s="83"/>
      <c r="B549" s="83"/>
      <c r="C549" s="83"/>
      <c r="D549" s="83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</row>
    <row r="550" ht="14.25" customHeight="1" spans="1:26" x14ac:dyDescent="0.25">
      <c r="A550" s="83"/>
      <c r="B550" s="83"/>
      <c r="C550" s="83"/>
      <c r="D550" s="83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</row>
    <row r="551" ht="14.25" customHeight="1" spans="1:26" x14ac:dyDescent="0.25">
      <c r="A551" s="83"/>
      <c r="B551" s="83"/>
      <c r="C551" s="83"/>
      <c r="D551" s="83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</row>
    <row r="552" ht="14.25" customHeight="1" spans="1:26" x14ac:dyDescent="0.25">
      <c r="A552" s="83"/>
      <c r="B552" s="83"/>
      <c r="C552" s="83"/>
      <c r="D552" s="83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</row>
    <row r="553" ht="14.25" customHeight="1" spans="1:26" x14ac:dyDescent="0.25">
      <c r="A553" s="83"/>
      <c r="B553" s="83"/>
      <c r="C553" s="83"/>
      <c r="D553" s="8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</row>
    <row r="554" ht="14.25" customHeight="1" spans="1:26" x14ac:dyDescent="0.25">
      <c r="A554" s="83"/>
      <c r="B554" s="83"/>
      <c r="C554" s="83"/>
      <c r="D554" s="83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</row>
    <row r="555" ht="14.25" customHeight="1" spans="1:26" x14ac:dyDescent="0.25">
      <c r="A555" s="83"/>
      <c r="B555" s="83"/>
      <c r="C555" s="83"/>
      <c r="D555" s="83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</row>
    <row r="556" ht="14.25" customHeight="1" spans="1:26" x14ac:dyDescent="0.25">
      <c r="A556" s="83"/>
      <c r="B556" s="83"/>
      <c r="C556" s="83"/>
      <c r="D556" s="83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</row>
    <row r="557" ht="14.25" customHeight="1" spans="1:26" x14ac:dyDescent="0.25">
      <c r="A557" s="83"/>
      <c r="B557" s="83"/>
      <c r="C557" s="83"/>
      <c r="D557" s="83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</row>
    <row r="558" ht="14.25" customHeight="1" spans="1:26" x14ac:dyDescent="0.25">
      <c r="A558" s="83"/>
      <c r="B558" s="83"/>
      <c r="C558" s="83"/>
      <c r="D558" s="83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</row>
    <row r="559" ht="14.25" customHeight="1" spans="1:26" x14ac:dyDescent="0.25">
      <c r="A559" s="83"/>
      <c r="B559" s="83"/>
      <c r="C559" s="83"/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</row>
    <row r="560" ht="14.25" customHeight="1" spans="1:26" x14ac:dyDescent="0.25">
      <c r="A560" s="83"/>
      <c r="B560" s="83"/>
      <c r="C560" s="83"/>
      <c r="D560" s="83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</row>
    <row r="561" ht="14.25" customHeight="1" spans="1:26" x14ac:dyDescent="0.25">
      <c r="A561" s="83"/>
      <c r="B561" s="83"/>
      <c r="C561" s="83"/>
      <c r="D561" s="83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</row>
    <row r="562" ht="14.25" customHeight="1" spans="1:26" x14ac:dyDescent="0.25">
      <c r="A562" s="83"/>
      <c r="B562" s="83"/>
      <c r="C562" s="83"/>
      <c r="D562" s="83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</row>
    <row r="563" ht="14.25" customHeight="1" spans="1:26" x14ac:dyDescent="0.25">
      <c r="A563" s="83"/>
      <c r="B563" s="83"/>
      <c r="C563" s="83"/>
      <c r="D563" s="83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</row>
    <row r="564" ht="14.25" customHeight="1" spans="1:26" x14ac:dyDescent="0.25">
      <c r="A564" s="83"/>
      <c r="B564" s="83"/>
      <c r="C564" s="83"/>
      <c r="D564" s="83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</row>
    <row r="565" ht="14.25" customHeight="1" spans="1:26" x14ac:dyDescent="0.25">
      <c r="A565" s="83"/>
      <c r="B565" s="83"/>
      <c r="C565" s="83"/>
      <c r="D565" s="83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</row>
    <row r="566" ht="14.25" customHeight="1" spans="1:26" x14ac:dyDescent="0.25">
      <c r="A566" s="83"/>
      <c r="B566" s="83"/>
      <c r="C566" s="83"/>
      <c r="D566" s="83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</row>
    <row r="567" ht="14.25" customHeight="1" spans="1:26" x14ac:dyDescent="0.25">
      <c r="A567" s="83"/>
      <c r="B567" s="83"/>
      <c r="C567" s="83"/>
      <c r="D567" s="83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</row>
    <row r="568" ht="14.25" customHeight="1" spans="1:26" x14ac:dyDescent="0.25">
      <c r="A568" s="83"/>
      <c r="B568" s="83"/>
      <c r="C568" s="83"/>
      <c r="D568" s="83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</row>
    <row r="569" ht="14.25" customHeight="1" spans="1:26" x14ac:dyDescent="0.25">
      <c r="A569" s="83"/>
      <c r="B569" s="83"/>
      <c r="C569" s="83"/>
      <c r="D569" s="83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</row>
    <row r="570" ht="14.25" customHeight="1" spans="1:26" x14ac:dyDescent="0.25">
      <c r="A570" s="83"/>
      <c r="B570" s="83"/>
      <c r="C570" s="83"/>
      <c r="D570" s="83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</row>
    <row r="571" ht="14.25" customHeight="1" spans="1:26" x14ac:dyDescent="0.25">
      <c r="A571" s="83"/>
      <c r="B571" s="83"/>
      <c r="C571" s="83"/>
      <c r="D571" s="83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</row>
    <row r="572" ht="14.25" customHeight="1" spans="1:26" x14ac:dyDescent="0.25">
      <c r="A572" s="83"/>
      <c r="B572" s="83"/>
      <c r="C572" s="83"/>
      <c r="D572" s="83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</row>
    <row r="573" ht="14.25" customHeight="1" spans="1:26" x14ac:dyDescent="0.25">
      <c r="A573" s="83"/>
      <c r="B573" s="83"/>
      <c r="C573" s="83"/>
      <c r="D573" s="83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</row>
    <row r="574" ht="14.25" customHeight="1" spans="1:26" x14ac:dyDescent="0.25">
      <c r="A574" s="83"/>
      <c r="B574" s="83"/>
      <c r="C574" s="83"/>
      <c r="D574" s="83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</row>
    <row r="575" ht="14.25" customHeight="1" spans="1:26" x14ac:dyDescent="0.25">
      <c r="A575" s="83"/>
      <c r="B575" s="83"/>
      <c r="C575" s="83"/>
      <c r="D575" s="83"/>
      <c r="E575" s="83"/>
      <c r="F575" s="83"/>
      <c r="G575" s="83"/>
      <c r="H575" s="83"/>
      <c r="I575" s="83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  <c r="X575" s="83"/>
      <c r="Y575" s="83"/>
      <c r="Z575" s="83"/>
    </row>
    <row r="576" ht="14.25" customHeight="1" spans="1:26" x14ac:dyDescent="0.25">
      <c r="A576" s="83"/>
      <c r="B576" s="83"/>
      <c r="C576" s="83"/>
      <c r="D576" s="83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</row>
    <row r="577" ht="14.25" customHeight="1" spans="1:26" x14ac:dyDescent="0.25">
      <c r="A577" s="83"/>
      <c r="B577" s="83"/>
      <c r="C577" s="83"/>
      <c r="D577" s="83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  <c r="X577" s="83"/>
      <c r="Y577" s="83"/>
      <c r="Z577" s="83"/>
    </row>
    <row r="578" ht="14.25" customHeight="1" spans="1:26" x14ac:dyDescent="0.25">
      <c r="A578" s="83"/>
      <c r="B578" s="83"/>
      <c r="C578" s="83"/>
      <c r="D578" s="83"/>
      <c r="E578" s="83"/>
      <c r="F578" s="83"/>
      <c r="G578" s="83"/>
      <c r="H578" s="83"/>
      <c r="I578" s="83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  <c r="X578" s="83"/>
      <c r="Y578" s="83"/>
      <c r="Z578" s="83"/>
    </row>
    <row r="579" ht="14.25" customHeight="1" spans="1:26" x14ac:dyDescent="0.25">
      <c r="A579" s="83"/>
      <c r="B579" s="83"/>
      <c r="C579" s="83"/>
      <c r="D579" s="83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</row>
    <row r="580" ht="14.25" customHeight="1" spans="1:26" x14ac:dyDescent="0.25">
      <c r="A580" s="83"/>
      <c r="B580" s="83"/>
      <c r="C580" s="83"/>
      <c r="D580" s="83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  <c r="Z580" s="83"/>
    </row>
    <row r="581" ht="14.25" customHeight="1" spans="1:26" x14ac:dyDescent="0.25">
      <c r="A581" s="83"/>
      <c r="B581" s="83"/>
      <c r="C581" s="83"/>
      <c r="D581" s="83"/>
      <c r="E581" s="83"/>
      <c r="F581" s="83"/>
      <c r="G581" s="83"/>
      <c r="H581" s="83"/>
      <c r="I581" s="83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  <c r="X581" s="83"/>
      <c r="Y581" s="83"/>
      <c r="Z581" s="83"/>
    </row>
    <row r="582" ht="14.25" customHeight="1" spans="1:26" x14ac:dyDescent="0.25">
      <c r="A582" s="83"/>
      <c r="B582" s="83"/>
      <c r="C582" s="83"/>
      <c r="D582" s="83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</row>
    <row r="583" ht="14.25" customHeight="1" spans="1:26" x14ac:dyDescent="0.25">
      <c r="A583" s="83"/>
      <c r="B583" s="83"/>
      <c r="C583" s="83"/>
      <c r="D583" s="83"/>
      <c r="E583" s="83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  <c r="X583" s="83"/>
      <c r="Y583" s="83"/>
      <c r="Z583" s="83"/>
    </row>
    <row r="584" ht="14.25" customHeight="1" spans="1:26" x14ac:dyDescent="0.25">
      <c r="A584" s="83"/>
      <c r="B584" s="83"/>
      <c r="C584" s="83"/>
      <c r="D584" s="83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  <c r="X584" s="83"/>
      <c r="Y584" s="83"/>
      <c r="Z584" s="83"/>
    </row>
    <row r="585" ht="14.25" customHeight="1" spans="1:26" x14ac:dyDescent="0.25">
      <c r="A585" s="83"/>
      <c r="B585" s="83"/>
      <c r="C585" s="83"/>
      <c r="D585" s="83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  <c r="X585" s="83"/>
      <c r="Y585" s="83"/>
      <c r="Z585" s="83"/>
    </row>
    <row r="586" ht="14.25" customHeight="1" spans="1:26" x14ac:dyDescent="0.25">
      <c r="A586" s="83"/>
      <c r="B586" s="83"/>
      <c r="C586" s="83"/>
      <c r="D586" s="83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</row>
    <row r="587" ht="14.25" customHeight="1" spans="1:26" x14ac:dyDescent="0.25">
      <c r="A587" s="83"/>
      <c r="B587" s="83"/>
      <c r="C587" s="83"/>
      <c r="D587" s="83"/>
      <c r="E587" s="83"/>
      <c r="F587" s="83"/>
      <c r="G587" s="83"/>
      <c r="H587" s="83"/>
      <c r="I587" s="83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83"/>
      <c r="U587" s="83"/>
      <c r="V587" s="83"/>
      <c r="W587" s="83"/>
      <c r="X587" s="83"/>
      <c r="Y587" s="83"/>
      <c r="Z587" s="83"/>
    </row>
    <row r="588" ht="14.25" customHeight="1" spans="1:26" x14ac:dyDescent="0.25">
      <c r="A588" s="83"/>
      <c r="B588" s="83"/>
      <c r="C588" s="83"/>
      <c r="D588" s="83"/>
      <c r="E588" s="83"/>
      <c r="F588" s="83"/>
      <c r="G588" s="83"/>
      <c r="H588" s="83"/>
      <c r="I588" s="83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  <c r="X588" s="83"/>
      <c r="Y588" s="83"/>
      <c r="Z588" s="83"/>
    </row>
    <row r="589" ht="14.25" customHeight="1" spans="1:26" x14ac:dyDescent="0.25">
      <c r="A589" s="83"/>
      <c r="B589" s="83"/>
      <c r="C589" s="83"/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  <c r="X589" s="83"/>
      <c r="Y589" s="83"/>
      <c r="Z589" s="83"/>
    </row>
    <row r="590" ht="14.25" customHeight="1" spans="1:26" x14ac:dyDescent="0.25">
      <c r="A590" s="83"/>
      <c r="B590" s="83"/>
      <c r="C590" s="83"/>
      <c r="D590" s="83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</row>
    <row r="591" ht="14.25" customHeight="1" spans="1:26" x14ac:dyDescent="0.25">
      <c r="A591" s="83"/>
      <c r="B591" s="83"/>
      <c r="C591" s="83"/>
      <c r="D591" s="8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</row>
    <row r="592" ht="14.25" customHeight="1" spans="1:26" x14ac:dyDescent="0.25">
      <c r="A592" s="83"/>
      <c r="B592" s="83"/>
      <c r="C592" s="83"/>
      <c r="D592" s="83"/>
      <c r="E592" s="83"/>
      <c r="F592" s="83"/>
      <c r="G592" s="83"/>
      <c r="H592" s="83"/>
      <c r="I592" s="83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  <c r="X592" s="83"/>
      <c r="Y592" s="83"/>
      <c r="Z592" s="83"/>
    </row>
    <row r="593" ht="14.25" customHeight="1" spans="1:26" x14ac:dyDescent="0.25">
      <c r="A593" s="83"/>
      <c r="B593" s="83"/>
      <c r="C593" s="83"/>
      <c r="D593" s="83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  <c r="X593" s="83"/>
      <c r="Y593" s="83"/>
      <c r="Z593" s="83"/>
    </row>
    <row r="594" ht="14.25" customHeight="1" spans="1:26" x14ac:dyDescent="0.25">
      <c r="A594" s="83"/>
      <c r="B594" s="83"/>
      <c r="C594" s="83"/>
      <c r="D594" s="83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  <c r="X594" s="83"/>
      <c r="Y594" s="83"/>
      <c r="Z594" s="83"/>
    </row>
    <row r="595" ht="14.25" customHeight="1" spans="1:26" x14ac:dyDescent="0.25">
      <c r="A595" s="83"/>
      <c r="B595" s="83"/>
      <c r="C595" s="83"/>
      <c r="D595" s="83"/>
      <c r="E595" s="83"/>
      <c r="F595" s="83"/>
      <c r="G595" s="83"/>
      <c r="H595" s="83"/>
      <c r="I595" s="83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  <c r="X595" s="83"/>
      <c r="Y595" s="83"/>
      <c r="Z595" s="83"/>
    </row>
    <row r="596" ht="14.25" customHeight="1" spans="1:26" x14ac:dyDescent="0.25">
      <c r="A596" s="83"/>
      <c r="B596" s="83"/>
      <c r="C596" s="83"/>
      <c r="D596" s="83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</row>
    <row r="597" ht="14.25" customHeight="1" spans="1:26" x14ac:dyDescent="0.25">
      <c r="A597" s="83"/>
      <c r="B597" s="83"/>
      <c r="C597" s="83"/>
      <c r="D597" s="83"/>
      <c r="E597" s="83"/>
      <c r="F597" s="83"/>
      <c r="G597" s="83"/>
      <c r="H597" s="83"/>
      <c r="I597" s="83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  <c r="X597" s="83"/>
      <c r="Y597" s="83"/>
      <c r="Z597" s="83"/>
    </row>
    <row r="598" ht="14.25" customHeight="1" spans="1:26" x14ac:dyDescent="0.25">
      <c r="A598" s="83"/>
      <c r="B598" s="83"/>
      <c r="C598" s="83"/>
      <c r="D598" s="83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</row>
    <row r="599" ht="14.25" customHeight="1" spans="1:26" x14ac:dyDescent="0.25">
      <c r="A599" s="83"/>
      <c r="B599" s="83"/>
      <c r="C599" s="83"/>
      <c r="D599" s="83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  <c r="X599" s="83"/>
      <c r="Y599" s="83"/>
      <c r="Z599" s="83"/>
    </row>
    <row r="600" ht="14.25" customHeight="1" spans="1:26" x14ac:dyDescent="0.25">
      <c r="A600" s="83"/>
      <c r="B600" s="83"/>
      <c r="C600" s="83"/>
      <c r="D600" s="83"/>
      <c r="E600" s="83"/>
      <c r="F600" s="83"/>
      <c r="G600" s="83"/>
      <c r="H600" s="83"/>
      <c r="I600" s="83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  <c r="X600" s="83"/>
      <c r="Y600" s="83"/>
      <c r="Z600" s="83"/>
    </row>
    <row r="601" ht="14.25" customHeight="1" spans="1:26" x14ac:dyDescent="0.25">
      <c r="A601" s="83"/>
      <c r="B601" s="83"/>
      <c r="C601" s="83"/>
      <c r="D601" s="83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</row>
    <row r="602" ht="14.25" customHeight="1" spans="1:26" x14ac:dyDescent="0.25">
      <c r="A602" s="83"/>
      <c r="B602" s="83"/>
      <c r="C602" s="83"/>
      <c r="D602" s="83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  <c r="X602" s="83"/>
      <c r="Y602" s="83"/>
      <c r="Z602" s="83"/>
    </row>
    <row r="603" ht="14.25" customHeight="1" spans="1:26" x14ac:dyDescent="0.25">
      <c r="A603" s="83"/>
      <c r="B603" s="83"/>
      <c r="C603" s="83"/>
      <c r="D603" s="83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  <c r="X603" s="83"/>
      <c r="Y603" s="83"/>
      <c r="Z603" s="83"/>
    </row>
    <row r="604" ht="14.25" customHeight="1" spans="1:26" x14ac:dyDescent="0.25">
      <c r="A604" s="83"/>
      <c r="B604" s="83"/>
      <c r="C604" s="83"/>
      <c r="D604" s="83"/>
      <c r="E604" s="83"/>
      <c r="F604" s="83"/>
      <c r="G604" s="83"/>
      <c r="H604" s="83"/>
      <c r="I604" s="83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  <c r="X604" s="83"/>
      <c r="Y604" s="83"/>
      <c r="Z604" s="83"/>
    </row>
    <row r="605" ht="14.25" customHeight="1" spans="1:26" x14ac:dyDescent="0.25">
      <c r="A605" s="83"/>
      <c r="B605" s="83"/>
      <c r="C605" s="83"/>
      <c r="D605" s="83"/>
      <c r="E605" s="83"/>
      <c r="F605" s="83"/>
      <c r="G605" s="83"/>
      <c r="H605" s="83"/>
      <c r="I605" s="83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</row>
    <row r="606" ht="14.25" customHeight="1" spans="1:26" x14ac:dyDescent="0.25">
      <c r="A606" s="83"/>
      <c r="B606" s="83"/>
      <c r="C606" s="83"/>
      <c r="D606" s="83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</row>
    <row r="607" ht="14.25" customHeight="1" spans="1:26" x14ac:dyDescent="0.25">
      <c r="A607" s="83"/>
      <c r="B607" s="83"/>
      <c r="C607" s="83"/>
      <c r="D607" s="83"/>
      <c r="E607" s="83"/>
      <c r="F607" s="83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  <c r="X607" s="83"/>
      <c r="Y607" s="83"/>
      <c r="Z607" s="83"/>
    </row>
    <row r="608" ht="14.25" customHeight="1" spans="1:26" x14ac:dyDescent="0.25">
      <c r="A608" s="83"/>
      <c r="B608" s="83"/>
      <c r="C608" s="83"/>
      <c r="D608" s="83"/>
      <c r="E608" s="83"/>
      <c r="F608" s="83"/>
      <c r="G608" s="83"/>
      <c r="H608" s="83"/>
      <c r="I608" s="83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83"/>
      <c r="Y608" s="83"/>
      <c r="Z608" s="83"/>
    </row>
    <row r="609" ht="14.25" customHeight="1" spans="1:26" x14ac:dyDescent="0.25">
      <c r="A609" s="83"/>
      <c r="B609" s="83"/>
      <c r="C609" s="83"/>
      <c r="D609" s="83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</row>
    <row r="610" ht="14.25" customHeight="1" spans="1:26" x14ac:dyDescent="0.25">
      <c r="A610" s="83"/>
      <c r="B610" s="83"/>
      <c r="C610" s="83"/>
      <c r="D610" s="83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  <c r="X610" s="83"/>
      <c r="Y610" s="83"/>
      <c r="Z610" s="83"/>
    </row>
    <row r="611" ht="14.25" customHeight="1" spans="1:26" x14ac:dyDescent="0.25">
      <c r="A611" s="83"/>
      <c r="B611" s="83"/>
      <c r="C611" s="83"/>
      <c r="D611" s="83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</row>
    <row r="612" ht="14.25" customHeight="1" spans="1:26" x14ac:dyDescent="0.25">
      <c r="A612" s="83"/>
      <c r="B612" s="83"/>
      <c r="C612" s="83"/>
      <c r="D612" s="83"/>
      <c r="E612" s="83"/>
      <c r="F612" s="83"/>
      <c r="G612" s="83"/>
      <c r="H612" s="83"/>
      <c r="I612" s="83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  <c r="X612" s="83"/>
      <c r="Y612" s="83"/>
      <c r="Z612" s="83"/>
    </row>
    <row r="613" ht="14.25" customHeight="1" spans="1:26" x14ac:dyDescent="0.25">
      <c r="A613" s="83"/>
      <c r="B613" s="83"/>
      <c r="C613" s="83"/>
      <c r="D613" s="83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83"/>
      <c r="U613" s="83"/>
      <c r="V613" s="83"/>
      <c r="W613" s="83"/>
      <c r="X613" s="83"/>
      <c r="Y613" s="83"/>
      <c r="Z613" s="83"/>
    </row>
    <row r="614" ht="14.25" customHeight="1" spans="1:26" x14ac:dyDescent="0.25">
      <c r="A614" s="83"/>
      <c r="B614" s="83"/>
      <c r="C614" s="83"/>
      <c r="D614" s="83"/>
      <c r="E614" s="83"/>
      <c r="F614" s="83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  <c r="X614" s="83"/>
      <c r="Y614" s="83"/>
      <c r="Z614" s="83"/>
    </row>
    <row r="615" ht="14.25" customHeight="1" spans="1:26" x14ac:dyDescent="0.25">
      <c r="A615" s="83"/>
      <c r="B615" s="83"/>
      <c r="C615" s="83"/>
      <c r="D615" s="83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</row>
    <row r="616" ht="14.25" customHeight="1" spans="1:26" x14ac:dyDescent="0.25">
      <c r="A616" s="83"/>
      <c r="B616" s="83"/>
      <c r="C616" s="83"/>
      <c r="D616" s="83"/>
      <c r="E616" s="83"/>
      <c r="F616" s="83"/>
      <c r="G616" s="83"/>
      <c r="H616" s="83"/>
      <c r="I616" s="83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  <c r="X616" s="83"/>
      <c r="Y616" s="83"/>
      <c r="Z616" s="83"/>
    </row>
    <row r="617" ht="14.25" customHeight="1" spans="1:26" x14ac:dyDescent="0.25">
      <c r="A617" s="83"/>
      <c r="B617" s="83"/>
      <c r="C617" s="83"/>
      <c r="D617" s="83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</row>
    <row r="618" ht="14.25" customHeight="1" spans="1:26" x14ac:dyDescent="0.25">
      <c r="A618" s="83"/>
      <c r="B618" s="83"/>
      <c r="C618" s="83"/>
      <c r="D618" s="83"/>
      <c r="E618" s="83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  <c r="X618" s="83"/>
      <c r="Y618" s="83"/>
      <c r="Z618" s="83"/>
    </row>
    <row r="619" ht="14.25" customHeight="1" spans="1:26" x14ac:dyDescent="0.25">
      <c r="A619" s="83"/>
      <c r="B619" s="83"/>
      <c r="C619" s="83"/>
      <c r="D619" s="83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</row>
    <row r="620" ht="14.25" customHeight="1" spans="1:26" x14ac:dyDescent="0.25">
      <c r="A620" s="83"/>
      <c r="B620" s="83"/>
      <c r="C620" s="83"/>
      <c r="D620" s="83"/>
      <c r="E620" s="83"/>
      <c r="F620" s="83"/>
      <c r="G620" s="83"/>
      <c r="H620" s="83"/>
      <c r="I620" s="83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  <c r="X620" s="83"/>
      <c r="Y620" s="83"/>
      <c r="Z620" s="83"/>
    </row>
    <row r="621" ht="14.25" customHeight="1" spans="1:26" x14ac:dyDescent="0.25">
      <c r="A621" s="83"/>
      <c r="B621" s="83"/>
      <c r="C621" s="83"/>
      <c r="D621" s="83"/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  <c r="X621" s="83"/>
      <c r="Y621" s="83"/>
      <c r="Z621" s="83"/>
    </row>
    <row r="622" ht="14.25" customHeight="1" spans="1:26" x14ac:dyDescent="0.25">
      <c r="A622" s="83"/>
      <c r="B622" s="83"/>
      <c r="C622" s="83"/>
      <c r="D622" s="83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</row>
    <row r="623" ht="14.25" customHeight="1" spans="1:26" x14ac:dyDescent="0.25">
      <c r="A623" s="83"/>
      <c r="B623" s="83"/>
      <c r="C623" s="83"/>
      <c r="D623" s="83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  <c r="X623" s="83"/>
      <c r="Y623" s="83"/>
      <c r="Z623" s="83"/>
    </row>
    <row r="624" ht="14.25" customHeight="1" spans="1:26" x14ac:dyDescent="0.25">
      <c r="A624" s="83"/>
      <c r="B624" s="83"/>
      <c r="C624" s="83"/>
      <c r="D624" s="83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</row>
    <row r="625" ht="14.25" customHeight="1" spans="1:26" x14ac:dyDescent="0.25">
      <c r="A625" s="83"/>
      <c r="B625" s="83"/>
      <c r="C625" s="83"/>
      <c r="D625" s="83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  <c r="X625" s="83"/>
      <c r="Y625" s="83"/>
      <c r="Z625" s="83"/>
    </row>
    <row r="626" ht="14.25" customHeight="1" spans="1:26" x14ac:dyDescent="0.25">
      <c r="A626" s="83"/>
      <c r="B626" s="83"/>
      <c r="C626" s="83"/>
      <c r="D626" s="83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</row>
    <row r="627" ht="14.25" customHeight="1" spans="1:26" x14ac:dyDescent="0.25">
      <c r="A627" s="83"/>
      <c r="B627" s="83"/>
      <c r="C627" s="83"/>
      <c r="D627" s="83"/>
      <c r="E627" s="83"/>
      <c r="F627" s="83"/>
      <c r="G627" s="83"/>
      <c r="H627" s="83"/>
      <c r="I627" s="83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  <c r="X627" s="83"/>
      <c r="Y627" s="83"/>
      <c r="Z627" s="83"/>
    </row>
    <row r="628" ht="14.25" customHeight="1" spans="1:26" x14ac:dyDescent="0.25">
      <c r="A628" s="83"/>
      <c r="B628" s="83"/>
      <c r="C628" s="83"/>
      <c r="D628" s="83"/>
      <c r="E628" s="83"/>
      <c r="F628" s="83"/>
      <c r="G628" s="83"/>
      <c r="H628" s="83"/>
      <c r="I628" s="83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  <c r="X628" s="83"/>
      <c r="Y628" s="83"/>
      <c r="Z628" s="83"/>
    </row>
    <row r="629" ht="14.25" customHeight="1" spans="1:26" x14ac:dyDescent="0.25">
      <c r="A629" s="83"/>
      <c r="B629" s="83"/>
      <c r="C629" s="83"/>
      <c r="D629" s="83"/>
      <c r="E629" s="83"/>
      <c r="F629" s="83"/>
      <c r="G629" s="83"/>
      <c r="H629" s="83"/>
      <c r="I629" s="83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  <c r="X629" s="83"/>
      <c r="Y629" s="83"/>
      <c r="Z629" s="83"/>
    </row>
    <row r="630" ht="14.25" customHeight="1" spans="1:26" x14ac:dyDescent="0.25">
      <c r="A630" s="83"/>
      <c r="B630" s="83"/>
      <c r="C630" s="83"/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</row>
    <row r="631" ht="14.25" customHeight="1" spans="1:26" x14ac:dyDescent="0.25">
      <c r="A631" s="83"/>
      <c r="B631" s="83"/>
      <c r="C631" s="83"/>
      <c r="D631" s="83"/>
      <c r="E631" s="83"/>
      <c r="F631" s="83"/>
      <c r="G631" s="83"/>
      <c r="H631" s="83"/>
      <c r="I631" s="83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  <c r="X631" s="83"/>
      <c r="Y631" s="83"/>
      <c r="Z631" s="83"/>
    </row>
    <row r="632" ht="14.25" customHeight="1" spans="1:26" x14ac:dyDescent="0.25">
      <c r="A632" s="83"/>
      <c r="B632" s="83"/>
      <c r="C632" s="83"/>
      <c r="D632" s="83"/>
      <c r="E632" s="83"/>
      <c r="F632" s="83"/>
      <c r="G632" s="83"/>
      <c r="H632" s="83"/>
      <c r="I632" s="83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  <c r="X632" s="83"/>
      <c r="Y632" s="83"/>
      <c r="Z632" s="83"/>
    </row>
    <row r="633" ht="14.25" customHeight="1" spans="1:26" x14ac:dyDescent="0.25">
      <c r="A633" s="83"/>
      <c r="B633" s="83"/>
      <c r="C633" s="83"/>
      <c r="D633" s="83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</row>
    <row r="634" ht="14.25" customHeight="1" spans="1:26" x14ac:dyDescent="0.25">
      <c r="A634" s="83"/>
      <c r="B634" s="83"/>
      <c r="C634" s="83"/>
      <c r="D634" s="83"/>
      <c r="E634" s="83"/>
      <c r="F634" s="83"/>
      <c r="G634" s="83"/>
      <c r="H634" s="83"/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</row>
    <row r="635" ht="14.25" customHeight="1" spans="1:26" x14ac:dyDescent="0.25">
      <c r="A635" s="83"/>
      <c r="B635" s="83"/>
      <c r="C635" s="83"/>
      <c r="D635" s="83"/>
      <c r="E635" s="83"/>
      <c r="F635" s="83"/>
      <c r="G635" s="83"/>
      <c r="H635" s="83"/>
      <c r="I635" s="83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  <c r="X635" s="83"/>
      <c r="Y635" s="83"/>
      <c r="Z635" s="83"/>
    </row>
    <row r="636" ht="14.25" customHeight="1" spans="1:26" x14ac:dyDescent="0.25">
      <c r="A636" s="83"/>
      <c r="B636" s="83"/>
      <c r="C636" s="83"/>
      <c r="D636" s="83"/>
      <c r="E636" s="83"/>
      <c r="F636" s="83"/>
      <c r="G636" s="83"/>
      <c r="H636" s="83"/>
      <c r="I636" s="83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83"/>
      <c r="U636" s="83"/>
      <c r="V636" s="83"/>
      <c r="W636" s="83"/>
      <c r="X636" s="83"/>
      <c r="Y636" s="83"/>
      <c r="Z636" s="83"/>
    </row>
    <row r="637" ht="14.25" customHeight="1" spans="1:26" x14ac:dyDescent="0.25">
      <c r="A637" s="83"/>
      <c r="B637" s="83"/>
      <c r="C637" s="83"/>
      <c r="D637" s="83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3"/>
      <c r="Q637" s="83"/>
      <c r="R637" s="83"/>
      <c r="S637" s="83"/>
      <c r="T637" s="83"/>
      <c r="U637" s="83"/>
      <c r="V637" s="83"/>
      <c r="W637" s="83"/>
      <c r="X637" s="83"/>
      <c r="Y637" s="83"/>
      <c r="Z637" s="83"/>
    </row>
    <row r="638" ht="14.25" customHeight="1" spans="1:26" x14ac:dyDescent="0.25">
      <c r="A638" s="83"/>
      <c r="B638" s="83"/>
      <c r="C638" s="83"/>
      <c r="D638" s="83"/>
      <c r="E638" s="83"/>
      <c r="F638" s="83"/>
      <c r="G638" s="83"/>
      <c r="H638" s="83"/>
      <c r="I638" s="83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83"/>
      <c r="U638" s="83"/>
      <c r="V638" s="83"/>
      <c r="W638" s="83"/>
      <c r="X638" s="83"/>
      <c r="Y638" s="83"/>
      <c r="Z638" s="83"/>
    </row>
    <row r="639" ht="14.25" customHeight="1" spans="1:26" x14ac:dyDescent="0.25">
      <c r="A639" s="83"/>
      <c r="B639" s="83"/>
      <c r="C639" s="83"/>
      <c r="D639" s="83"/>
      <c r="E639" s="83"/>
      <c r="F639" s="83"/>
      <c r="G639" s="83"/>
      <c r="H639" s="83"/>
      <c r="I639" s="83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83"/>
      <c r="U639" s="83"/>
      <c r="V639" s="83"/>
      <c r="W639" s="83"/>
      <c r="X639" s="83"/>
      <c r="Y639" s="83"/>
      <c r="Z639" s="83"/>
    </row>
    <row r="640" ht="14.25" customHeight="1" spans="1:26" x14ac:dyDescent="0.25">
      <c r="A640" s="83"/>
      <c r="B640" s="83"/>
      <c r="C640" s="83"/>
      <c r="D640" s="83"/>
      <c r="E640" s="83"/>
      <c r="F640" s="83"/>
      <c r="G640" s="83"/>
      <c r="H640" s="83"/>
      <c r="I640" s="83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83"/>
      <c r="U640" s="83"/>
      <c r="V640" s="83"/>
      <c r="W640" s="83"/>
      <c r="X640" s="83"/>
      <c r="Y640" s="83"/>
      <c r="Z640" s="83"/>
    </row>
    <row r="641" ht="14.25" customHeight="1" spans="1:26" x14ac:dyDescent="0.25">
      <c r="A641" s="83"/>
      <c r="B641" s="83"/>
      <c r="C641" s="83"/>
      <c r="D641" s="83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/>
      <c r="V641" s="83"/>
      <c r="W641" s="83"/>
      <c r="X641" s="83"/>
      <c r="Y641" s="83"/>
      <c r="Z641" s="83"/>
    </row>
    <row r="642" ht="14.25" customHeight="1" spans="1:26" x14ac:dyDescent="0.25">
      <c r="A642" s="83"/>
      <c r="B642" s="83"/>
      <c r="C642" s="83"/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</row>
    <row r="643" ht="14.25" customHeight="1" spans="1:26" x14ac:dyDescent="0.25">
      <c r="A643" s="83"/>
      <c r="B643" s="83"/>
      <c r="C643" s="83"/>
      <c r="D643" s="83"/>
      <c r="E643" s="83"/>
      <c r="F643" s="83"/>
      <c r="G643" s="83"/>
      <c r="H643" s="83"/>
      <c r="I643" s="83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/>
      <c r="V643" s="83"/>
      <c r="W643" s="83"/>
      <c r="X643" s="83"/>
      <c r="Y643" s="83"/>
      <c r="Z643" s="83"/>
    </row>
    <row r="644" ht="14.25" customHeight="1" spans="1:26" x14ac:dyDescent="0.25">
      <c r="A644" s="83"/>
      <c r="B644" s="83"/>
      <c r="C644" s="83"/>
      <c r="D644" s="83"/>
      <c r="E644" s="83"/>
      <c r="F644" s="83"/>
      <c r="G644" s="83"/>
      <c r="H644" s="83"/>
      <c r="I644" s="83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83"/>
      <c r="U644" s="83"/>
      <c r="V644" s="83"/>
      <c r="W644" s="83"/>
      <c r="X644" s="83"/>
      <c r="Y644" s="83"/>
      <c r="Z644" s="83"/>
    </row>
    <row r="645" ht="14.25" customHeight="1" spans="1:26" x14ac:dyDescent="0.25">
      <c r="A645" s="83"/>
      <c r="B645" s="83"/>
      <c r="C645" s="83"/>
      <c r="D645" s="83"/>
      <c r="E645" s="83"/>
      <c r="F645" s="83"/>
      <c r="G645" s="83"/>
      <c r="H645" s="83"/>
      <c r="I645" s="83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83"/>
      <c r="U645" s="83"/>
      <c r="V645" s="83"/>
      <c r="W645" s="83"/>
      <c r="X645" s="83"/>
      <c r="Y645" s="83"/>
      <c r="Z645" s="83"/>
    </row>
    <row r="646" ht="14.25" customHeight="1" spans="1:26" x14ac:dyDescent="0.25">
      <c r="A646" s="83"/>
      <c r="B646" s="83"/>
      <c r="C646" s="83"/>
      <c r="D646" s="83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/>
      <c r="V646" s="83"/>
      <c r="W646" s="83"/>
      <c r="X646" s="83"/>
      <c r="Y646" s="83"/>
      <c r="Z646" s="83"/>
    </row>
    <row r="647" ht="14.25" customHeight="1" spans="1:26" x14ac:dyDescent="0.25">
      <c r="A647" s="83"/>
      <c r="B647" s="83"/>
      <c r="C647" s="83"/>
      <c r="D647" s="83"/>
      <c r="E647" s="83"/>
      <c r="F647" s="83"/>
      <c r="G647" s="83"/>
      <c r="H647" s="83"/>
      <c r="I647" s="83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  <c r="X647" s="83"/>
      <c r="Y647" s="83"/>
      <c r="Z647" s="83"/>
    </row>
    <row r="648" ht="14.25" customHeight="1" spans="1:26" x14ac:dyDescent="0.25">
      <c r="A648" s="83"/>
      <c r="B648" s="83"/>
      <c r="C648" s="83"/>
      <c r="D648" s="83"/>
      <c r="E648" s="83"/>
      <c r="F648" s="83"/>
      <c r="G648" s="83"/>
      <c r="H648" s="83"/>
      <c r="I648" s="83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83"/>
      <c r="U648" s="83"/>
      <c r="V648" s="83"/>
      <c r="W648" s="83"/>
      <c r="X648" s="83"/>
      <c r="Y648" s="83"/>
      <c r="Z648" s="83"/>
    </row>
    <row r="649" ht="14.25" customHeight="1" spans="1:26" x14ac:dyDescent="0.25">
      <c r="A649" s="83"/>
      <c r="B649" s="83"/>
      <c r="C649" s="83"/>
      <c r="D649" s="83"/>
      <c r="E649" s="83"/>
      <c r="F649" s="83"/>
      <c r="G649" s="83"/>
      <c r="H649" s="83"/>
      <c r="I649" s="83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  <c r="X649" s="83"/>
      <c r="Y649" s="83"/>
      <c r="Z649" s="83"/>
    </row>
    <row r="650" ht="14.25" customHeight="1" spans="1:26" x14ac:dyDescent="0.25">
      <c r="A650" s="83"/>
      <c r="B650" s="83"/>
      <c r="C650" s="83"/>
      <c r="D650" s="83"/>
      <c r="E650" s="83"/>
      <c r="F650" s="83"/>
      <c r="G650" s="83"/>
      <c r="H650" s="83"/>
      <c r="I650" s="83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83"/>
      <c r="U650" s="83"/>
      <c r="V650" s="83"/>
      <c r="W650" s="83"/>
      <c r="X650" s="83"/>
      <c r="Y650" s="83"/>
      <c r="Z650" s="83"/>
    </row>
    <row r="651" ht="14.25" customHeight="1" spans="1:26" x14ac:dyDescent="0.25">
      <c r="A651" s="83"/>
      <c r="B651" s="83"/>
      <c r="C651" s="83"/>
      <c r="D651" s="83"/>
      <c r="E651" s="83"/>
      <c r="F651" s="83"/>
      <c r="G651" s="83"/>
      <c r="H651" s="83"/>
      <c r="I651" s="83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/>
      <c r="V651" s="83"/>
      <c r="W651" s="83"/>
      <c r="X651" s="83"/>
      <c r="Y651" s="83"/>
      <c r="Z651" s="83"/>
    </row>
    <row r="652" ht="14.25" customHeight="1" spans="1:26" x14ac:dyDescent="0.25">
      <c r="A652" s="83"/>
      <c r="B652" s="83"/>
      <c r="C652" s="83"/>
      <c r="D652" s="83"/>
      <c r="E652" s="83"/>
      <c r="F652" s="83"/>
      <c r="G652" s="83"/>
      <c r="H652" s="83"/>
      <c r="I652" s="83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83"/>
      <c r="U652" s="83"/>
      <c r="V652" s="83"/>
      <c r="W652" s="83"/>
      <c r="X652" s="83"/>
      <c r="Y652" s="83"/>
      <c r="Z652" s="83"/>
    </row>
    <row r="653" ht="14.25" customHeight="1" spans="1:26" x14ac:dyDescent="0.25">
      <c r="A653" s="83"/>
      <c r="B653" s="83"/>
      <c r="C653" s="83"/>
      <c r="D653" s="83"/>
      <c r="E653" s="83"/>
      <c r="F653" s="83"/>
      <c r="G653" s="83"/>
      <c r="H653" s="83"/>
      <c r="I653" s="83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83"/>
      <c r="U653" s="83"/>
      <c r="V653" s="83"/>
      <c r="W653" s="83"/>
      <c r="X653" s="83"/>
      <c r="Y653" s="83"/>
      <c r="Z653" s="83"/>
    </row>
    <row r="654" ht="14.25" customHeight="1" spans="1:26" x14ac:dyDescent="0.25">
      <c r="A654" s="83"/>
      <c r="B654" s="83"/>
      <c r="C654" s="83"/>
      <c r="D654" s="83"/>
      <c r="E654" s="83"/>
      <c r="F654" s="83"/>
      <c r="G654" s="83"/>
      <c r="H654" s="83"/>
      <c r="I654" s="83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  <c r="X654" s="83"/>
      <c r="Y654" s="83"/>
      <c r="Z654" s="83"/>
    </row>
    <row r="655" ht="14.25" customHeight="1" spans="1:26" x14ac:dyDescent="0.25">
      <c r="A655" s="83"/>
      <c r="B655" s="83"/>
      <c r="C655" s="83"/>
      <c r="D655" s="83"/>
      <c r="E655" s="83"/>
      <c r="F655" s="83"/>
      <c r="G655" s="83"/>
      <c r="H655" s="83"/>
      <c r="I655" s="83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83"/>
      <c r="U655" s="83"/>
      <c r="V655" s="83"/>
      <c r="W655" s="83"/>
      <c r="X655" s="83"/>
      <c r="Y655" s="83"/>
      <c r="Z655" s="83"/>
    </row>
    <row r="656" ht="14.25" customHeight="1" spans="1:26" x14ac:dyDescent="0.25">
      <c r="A656" s="83"/>
      <c r="B656" s="83"/>
      <c r="C656" s="83"/>
      <c r="D656" s="83"/>
      <c r="E656" s="83"/>
      <c r="F656" s="83"/>
      <c r="G656" s="83"/>
      <c r="H656" s="83"/>
      <c r="I656" s="83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  <c r="X656" s="83"/>
      <c r="Y656" s="83"/>
      <c r="Z656" s="83"/>
    </row>
    <row r="657" ht="14.25" customHeight="1" spans="1:26" x14ac:dyDescent="0.25">
      <c r="A657" s="83"/>
      <c r="B657" s="83"/>
      <c r="C657" s="83"/>
      <c r="D657" s="83"/>
      <c r="E657" s="83"/>
      <c r="F657" s="83"/>
      <c r="G657" s="83"/>
      <c r="H657" s="83"/>
      <c r="I657" s="83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83"/>
      <c r="U657" s="83"/>
      <c r="V657" s="83"/>
      <c r="W657" s="83"/>
      <c r="X657" s="83"/>
      <c r="Y657" s="83"/>
      <c r="Z657" s="83"/>
    </row>
    <row r="658" ht="14.25" customHeight="1" spans="1:26" x14ac:dyDescent="0.25">
      <c r="A658" s="83"/>
      <c r="B658" s="83"/>
      <c r="C658" s="83"/>
      <c r="D658" s="83"/>
      <c r="E658" s="83"/>
      <c r="F658" s="83"/>
      <c r="G658" s="83"/>
      <c r="H658" s="83"/>
      <c r="I658" s="83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83"/>
      <c r="U658" s="83"/>
      <c r="V658" s="83"/>
      <c r="W658" s="83"/>
      <c r="X658" s="83"/>
      <c r="Y658" s="83"/>
      <c r="Z658" s="83"/>
    </row>
    <row r="659" ht="14.25" customHeight="1" spans="1:26" x14ac:dyDescent="0.25">
      <c r="A659" s="83"/>
      <c r="B659" s="83"/>
      <c r="C659" s="83"/>
      <c r="D659" s="83"/>
      <c r="E659" s="83"/>
      <c r="F659" s="83"/>
      <c r="G659" s="83"/>
      <c r="H659" s="83"/>
      <c r="I659" s="83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83"/>
      <c r="U659" s="83"/>
      <c r="V659" s="83"/>
      <c r="W659" s="83"/>
      <c r="X659" s="83"/>
      <c r="Y659" s="83"/>
      <c r="Z659" s="83"/>
    </row>
    <row r="660" ht="14.25" customHeight="1" spans="1:26" x14ac:dyDescent="0.25">
      <c r="A660" s="83"/>
      <c r="B660" s="83"/>
      <c r="C660" s="83"/>
      <c r="D660" s="83"/>
      <c r="E660" s="83"/>
      <c r="F660" s="83"/>
      <c r="G660" s="83"/>
      <c r="H660" s="83"/>
      <c r="I660" s="83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/>
      <c r="V660" s="83"/>
      <c r="W660" s="83"/>
      <c r="X660" s="83"/>
      <c r="Y660" s="83"/>
      <c r="Z660" s="83"/>
    </row>
    <row r="661" ht="14.25" customHeight="1" spans="1:26" x14ac:dyDescent="0.25">
      <c r="A661" s="83"/>
      <c r="B661" s="83"/>
      <c r="C661" s="83"/>
      <c r="D661" s="83"/>
      <c r="E661" s="83"/>
      <c r="F661" s="83"/>
      <c r="G661" s="83"/>
      <c r="H661" s="83"/>
      <c r="I661" s="83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83"/>
      <c r="U661" s="83"/>
      <c r="V661" s="83"/>
      <c r="W661" s="83"/>
      <c r="X661" s="83"/>
      <c r="Y661" s="83"/>
      <c r="Z661" s="83"/>
    </row>
    <row r="662" ht="14.25" customHeight="1" spans="1:26" x14ac:dyDescent="0.25">
      <c r="A662" s="83"/>
      <c r="B662" s="83"/>
      <c r="C662" s="83"/>
      <c r="D662" s="83"/>
      <c r="E662" s="83"/>
      <c r="F662" s="83"/>
      <c r="G662" s="83"/>
      <c r="H662" s="83"/>
      <c r="I662" s="83"/>
      <c r="J662" s="83"/>
      <c r="K662" s="83"/>
      <c r="L662" s="83"/>
      <c r="M662" s="83"/>
      <c r="N662" s="83"/>
      <c r="O662" s="83"/>
      <c r="P662" s="83"/>
      <c r="Q662" s="83"/>
      <c r="R662" s="83"/>
      <c r="S662" s="83"/>
      <c r="T662" s="83"/>
      <c r="U662" s="83"/>
      <c r="V662" s="83"/>
      <c r="W662" s="83"/>
      <c r="X662" s="83"/>
      <c r="Y662" s="83"/>
      <c r="Z662" s="83"/>
    </row>
    <row r="663" ht="14.25" customHeight="1" spans="1:26" x14ac:dyDescent="0.25">
      <c r="A663" s="83"/>
      <c r="B663" s="83"/>
      <c r="C663" s="83"/>
      <c r="D663" s="83"/>
      <c r="E663" s="83"/>
      <c r="F663" s="83"/>
      <c r="G663" s="83"/>
      <c r="H663" s="83"/>
      <c r="I663" s="83"/>
      <c r="J663" s="83"/>
      <c r="K663" s="83"/>
      <c r="L663" s="83"/>
      <c r="M663" s="83"/>
      <c r="N663" s="83"/>
      <c r="O663" s="83"/>
      <c r="P663" s="83"/>
      <c r="Q663" s="83"/>
      <c r="R663" s="83"/>
      <c r="S663" s="83"/>
      <c r="T663" s="83"/>
      <c r="U663" s="83"/>
      <c r="V663" s="83"/>
      <c r="W663" s="83"/>
      <c r="X663" s="83"/>
      <c r="Y663" s="83"/>
      <c r="Z663" s="83"/>
    </row>
    <row r="664" ht="14.25" customHeight="1" spans="1:26" x14ac:dyDescent="0.25">
      <c r="A664" s="83"/>
      <c r="B664" s="83"/>
      <c r="C664" s="83"/>
      <c r="D664" s="83"/>
      <c r="E664" s="83"/>
      <c r="F664" s="83"/>
      <c r="G664" s="83"/>
      <c r="H664" s="83"/>
      <c r="I664" s="83"/>
      <c r="J664" s="83"/>
      <c r="K664" s="83"/>
      <c r="L664" s="83"/>
      <c r="M664" s="83"/>
      <c r="N664" s="83"/>
      <c r="O664" s="83"/>
      <c r="P664" s="83"/>
      <c r="Q664" s="83"/>
      <c r="R664" s="83"/>
      <c r="S664" s="83"/>
      <c r="T664" s="83"/>
      <c r="U664" s="83"/>
      <c r="V664" s="83"/>
      <c r="W664" s="83"/>
      <c r="X664" s="83"/>
      <c r="Y664" s="83"/>
      <c r="Z664" s="83"/>
    </row>
    <row r="665" ht="14.25" customHeight="1" spans="1:26" x14ac:dyDescent="0.25">
      <c r="A665" s="83"/>
      <c r="B665" s="83"/>
      <c r="C665" s="83"/>
      <c r="D665" s="83"/>
      <c r="E665" s="83"/>
      <c r="F665" s="83"/>
      <c r="G665" s="83"/>
      <c r="H665" s="83"/>
      <c r="I665" s="83"/>
      <c r="J665" s="83"/>
      <c r="K665" s="83"/>
      <c r="L665" s="83"/>
      <c r="M665" s="83"/>
      <c r="N665" s="83"/>
      <c r="O665" s="83"/>
      <c r="P665" s="83"/>
      <c r="Q665" s="83"/>
      <c r="R665" s="83"/>
      <c r="S665" s="83"/>
      <c r="T665" s="83"/>
      <c r="U665" s="83"/>
      <c r="V665" s="83"/>
      <c r="W665" s="83"/>
      <c r="X665" s="83"/>
      <c r="Y665" s="83"/>
      <c r="Z665" s="83"/>
    </row>
    <row r="666" ht="14.25" customHeight="1" spans="1:26" x14ac:dyDescent="0.25">
      <c r="A666" s="83"/>
      <c r="B666" s="83"/>
      <c r="C666" s="83"/>
      <c r="D666" s="83"/>
      <c r="E666" s="83"/>
      <c r="F666" s="83"/>
      <c r="G666" s="83"/>
      <c r="H666" s="83"/>
      <c r="I666" s="83"/>
      <c r="J666" s="83"/>
      <c r="K666" s="83"/>
      <c r="L666" s="83"/>
      <c r="M666" s="83"/>
      <c r="N666" s="83"/>
      <c r="O666" s="83"/>
      <c r="P666" s="83"/>
      <c r="Q666" s="83"/>
      <c r="R666" s="83"/>
      <c r="S666" s="83"/>
      <c r="T666" s="83"/>
      <c r="U666" s="83"/>
      <c r="V666" s="83"/>
      <c r="W666" s="83"/>
      <c r="X666" s="83"/>
      <c r="Y666" s="83"/>
      <c r="Z666" s="83"/>
    </row>
    <row r="667" ht="14.25" customHeight="1" spans="1:26" x14ac:dyDescent="0.25">
      <c r="A667" s="83"/>
      <c r="B667" s="83"/>
      <c r="C667" s="83"/>
      <c r="D667" s="83"/>
      <c r="E667" s="83"/>
      <c r="F667" s="83"/>
      <c r="G667" s="83"/>
      <c r="H667" s="83"/>
      <c r="I667" s="83"/>
      <c r="J667" s="83"/>
      <c r="K667" s="83"/>
      <c r="L667" s="83"/>
      <c r="M667" s="83"/>
      <c r="N667" s="83"/>
      <c r="O667" s="83"/>
      <c r="P667" s="83"/>
      <c r="Q667" s="83"/>
      <c r="R667" s="83"/>
      <c r="S667" s="83"/>
      <c r="T667" s="83"/>
      <c r="U667" s="83"/>
      <c r="V667" s="83"/>
      <c r="W667" s="83"/>
      <c r="X667" s="83"/>
      <c r="Y667" s="83"/>
      <c r="Z667" s="83"/>
    </row>
    <row r="668" ht="14.25" customHeight="1" spans="1:26" x14ac:dyDescent="0.25">
      <c r="A668" s="83"/>
      <c r="B668" s="83"/>
      <c r="C668" s="83"/>
      <c r="D668" s="83"/>
      <c r="E668" s="83"/>
      <c r="F668" s="83"/>
      <c r="G668" s="83"/>
      <c r="H668" s="83"/>
      <c r="I668" s="83"/>
      <c r="J668" s="83"/>
      <c r="K668" s="83"/>
      <c r="L668" s="83"/>
      <c r="M668" s="83"/>
      <c r="N668" s="83"/>
      <c r="O668" s="83"/>
      <c r="P668" s="83"/>
      <c r="Q668" s="83"/>
      <c r="R668" s="83"/>
      <c r="S668" s="83"/>
      <c r="T668" s="83"/>
      <c r="U668" s="83"/>
      <c r="V668" s="83"/>
      <c r="W668" s="83"/>
      <c r="X668" s="83"/>
      <c r="Y668" s="83"/>
      <c r="Z668" s="83"/>
    </row>
    <row r="669" ht="14.25" customHeight="1" spans="1:26" x14ac:dyDescent="0.25">
      <c r="A669" s="83"/>
      <c r="B669" s="83"/>
      <c r="C669" s="83"/>
      <c r="D669" s="83"/>
      <c r="E669" s="83"/>
      <c r="F669" s="83"/>
      <c r="G669" s="83"/>
      <c r="H669" s="83"/>
      <c r="I669" s="83"/>
      <c r="J669" s="83"/>
      <c r="K669" s="83"/>
      <c r="L669" s="83"/>
      <c r="M669" s="83"/>
      <c r="N669" s="83"/>
      <c r="O669" s="83"/>
      <c r="P669" s="83"/>
      <c r="Q669" s="83"/>
      <c r="R669" s="83"/>
      <c r="S669" s="83"/>
      <c r="T669" s="83"/>
      <c r="U669" s="83"/>
      <c r="V669" s="83"/>
      <c r="W669" s="83"/>
      <c r="X669" s="83"/>
      <c r="Y669" s="83"/>
      <c r="Z669" s="83"/>
    </row>
    <row r="670" ht="14.25" customHeight="1" spans="1:26" x14ac:dyDescent="0.25">
      <c r="A670" s="83"/>
      <c r="B670" s="83"/>
      <c r="C670" s="83"/>
      <c r="D670" s="83"/>
      <c r="E670" s="83"/>
      <c r="F670" s="83"/>
      <c r="G670" s="83"/>
      <c r="H670" s="83"/>
      <c r="I670" s="83"/>
      <c r="J670" s="83"/>
      <c r="K670" s="83"/>
      <c r="L670" s="83"/>
      <c r="M670" s="83"/>
      <c r="N670" s="83"/>
      <c r="O670" s="83"/>
      <c r="P670" s="83"/>
      <c r="Q670" s="83"/>
      <c r="R670" s="83"/>
      <c r="S670" s="83"/>
      <c r="T670" s="83"/>
      <c r="U670" s="83"/>
      <c r="V670" s="83"/>
      <c r="W670" s="83"/>
      <c r="X670" s="83"/>
      <c r="Y670" s="83"/>
      <c r="Z670" s="83"/>
    </row>
    <row r="671" ht="14.25" customHeight="1" spans="1:26" x14ac:dyDescent="0.25">
      <c r="A671" s="83"/>
      <c r="B671" s="83"/>
      <c r="C671" s="83"/>
      <c r="D671" s="83"/>
      <c r="E671" s="83"/>
      <c r="F671" s="83"/>
      <c r="G671" s="83"/>
      <c r="H671" s="83"/>
      <c r="I671" s="83"/>
      <c r="J671" s="83"/>
      <c r="K671" s="83"/>
      <c r="L671" s="83"/>
      <c r="M671" s="83"/>
      <c r="N671" s="83"/>
      <c r="O671" s="83"/>
      <c r="P671" s="83"/>
      <c r="Q671" s="83"/>
      <c r="R671" s="83"/>
      <c r="S671" s="83"/>
      <c r="T671" s="83"/>
      <c r="U671" s="83"/>
      <c r="V671" s="83"/>
      <c r="W671" s="83"/>
      <c r="X671" s="83"/>
      <c r="Y671" s="83"/>
      <c r="Z671" s="83"/>
    </row>
    <row r="672" ht="14.25" customHeight="1" spans="1:26" x14ac:dyDescent="0.25">
      <c r="A672" s="83"/>
      <c r="B672" s="83"/>
      <c r="C672" s="83"/>
      <c r="D672" s="83"/>
      <c r="E672" s="83"/>
      <c r="F672" s="83"/>
      <c r="G672" s="83"/>
      <c r="H672" s="83"/>
      <c r="I672" s="83"/>
      <c r="J672" s="83"/>
      <c r="K672" s="83"/>
      <c r="L672" s="83"/>
      <c r="M672" s="83"/>
      <c r="N672" s="83"/>
      <c r="O672" s="83"/>
      <c r="P672" s="83"/>
      <c r="Q672" s="83"/>
      <c r="R672" s="83"/>
      <c r="S672" s="83"/>
      <c r="T672" s="83"/>
      <c r="U672" s="83"/>
      <c r="V672" s="83"/>
      <c r="W672" s="83"/>
      <c r="X672" s="83"/>
      <c r="Y672" s="83"/>
      <c r="Z672" s="83"/>
    </row>
    <row r="673" ht="14.25" customHeight="1" spans="1:26" x14ac:dyDescent="0.25">
      <c r="A673" s="83"/>
      <c r="B673" s="83"/>
      <c r="C673" s="83"/>
      <c r="D673" s="83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83"/>
      <c r="U673" s="83"/>
      <c r="V673" s="83"/>
      <c r="W673" s="83"/>
      <c r="X673" s="83"/>
      <c r="Y673" s="83"/>
      <c r="Z673" s="83"/>
    </row>
    <row r="674" ht="14.25" customHeight="1" spans="1:26" x14ac:dyDescent="0.25">
      <c r="A674" s="83"/>
      <c r="B674" s="83"/>
      <c r="C674" s="83"/>
      <c r="D674" s="83"/>
      <c r="E674" s="83"/>
      <c r="F674" s="83"/>
      <c r="G674" s="83"/>
      <c r="H674" s="83"/>
      <c r="I674" s="83"/>
      <c r="J674" s="83"/>
      <c r="K674" s="83"/>
      <c r="L674" s="83"/>
      <c r="M674" s="83"/>
      <c r="N674" s="83"/>
      <c r="O674" s="83"/>
      <c r="P674" s="83"/>
      <c r="Q674" s="83"/>
      <c r="R674" s="83"/>
      <c r="S674" s="83"/>
      <c r="T674" s="83"/>
      <c r="U674" s="83"/>
      <c r="V674" s="83"/>
      <c r="W674" s="83"/>
      <c r="X674" s="83"/>
      <c r="Y674" s="83"/>
      <c r="Z674" s="83"/>
    </row>
    <row r="675" ht="14.25" customHeight="1" spans="1:26" x14ac:dyDescent="0.25">
      <c r="A675" s="83"/>
      <c r="B675" s="83"/>
      <c r="C675" s="83"/>
      <c r="D675" s="83"/>
      <c r="E675" s="83"/>
      <c r="F675" s="83"/>
      <c r="G675" s="83"/>
      <c r="H675" s="83"/>
      <c r="I675" s="83"/>
      <c r="J675" s="83"/>
      <c r="K675" s="83"/>
      <c r="L675" s="83"/>
      <c r="M675" s="83"/>
      <c r="N675" s="83"/>
      <c r="O675" s="83"/>
      <c r="P675" s="83"/>
      <c r="Q675" s="83"/>
      <c r="R675" s="83"/>
      <c r="S675" s="83"/>
      <c r="T675" s="83"/>
      <c r="U675" s="83"/>
      <c r="V675" s="83"/>
      <c r="W675" s="83"/>
      <c r="X675" s="83"/>
      <c r="Y675" s="83"/>
      <c r="Z675" s="83"/>
    </row>
    <row r="676" ht="14.25" customHeight="1" spans="1:26" x14ac:dyDescent="0.25">
      <c r="A676" s="83"/>
      <c r="B676" s="83"/>
      <c r="C676" s="83"/>
      <c r="D676" s="83"/>
      <c r="E676" s="83"/>
      <c r="F676" s="83"/>
      <c r="G676" s="83"/>
      <c r="H676" s="83"/>
      <c r="I676" s="83"/>
      <c r="J676" s="83"/>
      <c r="K676" s="83"/>
      <c r="L676" s="83"/>
      <c r="M676" s="83"/>
      <c r="N676" s="83"/>
      <c r="O676" s="83"/>
      <c r="P676" s="83"/>
      <c r="Q676" s="83"/>
      <c r="R676" s="83"/>
      <c r="S676" s="83"/>
      <c r="T676" s="83"/>
      <c r="U676" s="83"/>
      <c r="V676" s="83"/>
      <c r="W676" s="83"/>
      <c r="X676" s="83"/>
      <c r="Y676" s="83"/>
      <c r="Z676" s="83"/>
    </row>
    <row r="677" ht="14.25" customHeight="1" spans="1:26" x14ac:dyDescent="0.25">
      <c r="A677" s="83"/>
      <c r="B677" s="83"/>
      <c r="C677" s="83"/>
      <c r="D677" s="83"/>
      <c r="E677" s="83"/>
      <c r="F677" s="83"/>
      <c r="G677" s="83"/>
      <c r="H677" s="83"/>
      <c r="I677" s="83"/>
      <c r="J677" s="83"/>
      <c r="K677" s="83"/>
      <c r="L677" s="83"/>
      <c r="M677" s="83"/>
      <c r="N677" s="83"/>
      <c r="O677" s="83"/>
      <c r="P677" s="83"/>
      <c r="Q677" s="83"/>
      <c r="R677" s="83"/>
      <c r="S677" s="83"/>
      <c r="T677" s="83"/>
      <c r="U677" s="83"/>
      <c r="V677" s="83"/>
      <c r="W677" s="83"/>
      <c r="X677" s="83"/>
      <c r="Y677" s="83"/>
      <c r="Z677" s="83"/>
    </row>
    <row r="678" ht="14.25" customHeight="1" spans="1:26" x14ac:dyDescent="0.25">
      <c r="A678" s="83"/>
      <c r="B678" s="83"/>
      <c r="C678" s="83"/>
      <c r="D678" s="83"/>
      <c r="E678" s="83"/>
      <c r="F678" s="83"/>
      <c r="G678" s="83"/>
      <c r="H678" s="83"/>
      <c r="I678" s="83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83"/>
      <c r="U678" s="83"/>
      <c r="V678" s="83"/>
      <c r="W678" s="83"/>
      <c r="X678" s="83"/>
      <c r="Y678" s="83"/>
      <c r="Z678" s="83"/>
    </row>
    <row r="679" ht="14.25" customHeight="1" spans="1:26" x14ac:dyDescent="0.25">
      <c r="A679" s="83"/>
      <c r="B679" s="83"/>
      <c r="C679" s="83"/>
      <c r="D679" s="83"/>
      <c r="E679" s="83"/>
      <c r="F679" s="83"/>
      <c r="G679" s="83"/>
      <c r="H679" s="83"/>
      <c r="I679" s="83"/>
      <c r="J679" s="83"/>
      <c r="K679" s="83"/>
      <c r="L679" s="83"/>
      <c r="M679" s="83"/>
      <c r="N679" s="83"/>
      <c r="O679" s="83"/>
      <c r="P679" s="83"/>
      <c r="Q679" s="83"/>
      <c r="R679" s="83"/>
      <c r="S679" s="83"/>
      <c r="T679" s="83"/>
      <c r="U679" s="83"/>
      <c r="V679" s="83"/>
      <c r="W679" s="83"/>
      <c r="X679" s="83"/>
      <c r="Y679" s="83"/>
      <c r="Z679" s="83"/>
    </row>
    <row r="680" ht="14.25" customHeight="1" spans="1:26" x14ac:dyDescent="0.25">
      <c r="A680" s="83"/>
      <c r="B680" s="83"/>
      <c r="C680" s="83"/>
      <c r="D680" s="83"/>
      <c r="E680" s="83"/>
      <c r="F680" s="83"/>
      <c r="G680" s="83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83"/>
      <c r="U680" s="83"/>
      <c r="V680" s="83"/>
      <c r="W680" s="83"/>
      <c r="X680" s="83"/>
      <c r="Y680" s="83"/>
      <c r="Z680" s="83"/>
    </row>
    <row r="681" ht="14.25" customHeight="1" spans="1:26" x14ac:dyDescent="0.25">
      <c r="A681" s="83"/>
      <c r="B681" s="83"/>
      <c r="C681" s="83"/>
      <c r="D681" s="83"/>
      <c r="E681" s="83"/>
      <c r="F681" s="83"/>
      <c r="G681" s="83"/>
      <c r="H681" s="83"/>
      <c r="I681" s="83"/>
      <c r="J681" s="83"/>
      <c r="K681" s="83"/>
      <c r="L681" s="83"/>
      <c r="M681" s="83"/>
      <c r="N681" s="83"/>
      <c r="O681" s="83"/>
      <c r="P681" s="83"/>
      <c r="Q681" s="83"/>
      <c r="R681" s="83"/>
      <c r="S681" s="83"/>
      <c r="T681" s="83"/>
      <c r="U681" s="83"/>
      <c r="V681" s="83"/>
      <c r="W681" s="83"/>
      <c r="X681" s="83"/>
      <c r="Y681" s="83"/>
      <c r="Z681" s="83"/>
    </row>
    <row r="682" ht="14.25" customHeight="1" spans="1:26" x14ac:dyDescent="0.25">
      <c r="A682" s="83"/>
      <c r="B682" s="83"/>
      <c r="C682" s="83"/>
      <c r="D682" s="83"/>
      <c r="E682" s="83"/>
      <c r="F682" s="83"/>
      <c r="G682" s="83"/>
      <c r="H682" s="83"/>
      <c r="I682" s="83"/>
      <c r="J682" s="83"/>
      <c r="K682" s="83"/>
      <c r="L682" s="83"/>
      <c r="M682" s="83"/>
      <c r="N682" s="83"/>
      <c r="O682" s="83"/>
      <c r="P682" s="83"/>
      <c r="Q682" s="83"/>
      <c r="R682" s="83"/>
      <c r="S682" s="83"/>
      <c r="T682" s="83"/>
      <c r="U682" s="83"/>
      <c r="V682" s="83"/>
      <c r="W682" s="83"/>
      <c r="X682" s="83"/>
      <c r="Y682" s="83"/>
      <c r="Z682" s="83"/>
    </row>
    <row r="683" ht="14.25" customHeight="1" spans="1:26" x14ac:dyDescent="0.25">
      <c r="A683" s="83"/>
      <c r="B683" s="83"/>
      <c r="C683" s="83"/>
      <c r="D683" s="8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3"/>
      <c r="S683" s="83"/>
      <c r="T683" s="83"/>
      <c r="U683" s="83"/>
      <c r="V683" s="83"/>
      <c r="W683" s="83"/>
      <c r="X683" s="83"/>
      <c r="Y683" s="83"/>
      <c r="Z683" s="83"/>
    </row>
    <row r="684" ht="14.25" customHeight="1" spans="1:26" x14ac:dyDescent="0.25">
      <c r="A684" s="83"/>
      <c r="B684" s="83"/>
      <c r="C684" s="83"/>
      <c r="D684" s="83"/>
      <c r="E684" s="83"/>
      <c r="F684" s="83"/>
      <c r="G684" s="83"/>
      <c r="H684" s="83"/>
      <c r="I684" s="83"/>
      <c r="J684" s="83"/>
      <c r="K684" s="83"/>
      <c r="L684" s="83"/>
      <c r="M684" s="83"/>
      <c r="N684" s="83"/>
      <c r="O684" s="83"/>
      <c r="P684" s="83"/>
      <c r="Q684" s="83"/>
      <c r="R684" s="83"/>
      <c r="S684" s="83"/>
      <c r="T684" s="83"/>
      <c r="U684" s="83"/>
      <c r="V684" s="83"/>
      <c r="W684" s="83"/>
      <c r="X684" s="83"/>
      <c r="Y684" s="83"/>
      <c r="Z684" s="83"/>
    </row>
    <row r="685" ht="14.25" customHeight="1" spans="1:26" x14ac:dyDescent="0.25">
      <c r="A685" s="83"/>
      <c r="B685" s="83"/>
      <c r="C685" s="83"/>
      <c r="D685" s="83"/>
      <c r="E685" s="83"/>
      <c r="F685" s="83"/>
      <c r="G685" s="83"/>
      <c r="H685" s="83"/>
      <c r="I685" s="83"/>
      <c r="J685" s="83"/>
      <c r="K685" s="83"/>
      <c r="L685" s="83"/>
      <c r="M685" s="83"/>
      <c r="N685" s="83"/>
      <c r="O685" s="83"/>
      <c r="P685" s="83"/>
      <c r="Q685" s="83"/>
      <c r="R685" s="83"/>
      <c r="S685" s="83"/>
      <c r="T685" s="83"/>
      <c r="U685" s="83"/>
      <c r="V685" s="83"/>
      <c r="W685" s="83"/>
      <c r="X685" s="83"/>
      <c r="Y685" s="83"/>
      <c r="Z685" s="83"/>
    </row>
    <row r="686" ht="14.25" customHeight="1" spans="1:26" x14ac:dyDescent="0.25">
      <c r="A686" s="83"/>
      <c r="B686" s="83"/>
      <c r="C686" s="83"/>
      <c r="D686" s="83"/>
      <c r="E686" s="83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T686" s="83"/>
      <c r="U686" s="83"/>
      <c r="V686" s="83"/>
      <c r="W686" s="83"/>
      <c r="X686" s="83"/>
      <c r="Y686" s="83"/>
      <c r="Z686" s="83"/>
    </row>
    <row r="687" ht="14.25" customHeight="1" spans="1:26" x14ac:dyDescent="0.25">
      <c r="A687" s="83"/>
      <c r="B687" s="83"/>
      <c r="C687" s="83"/>
      <c r="D687" s="83"/>
      <c r="E687" s="83"/>
      <c r="F687" s="83"/>
      <c r="G687" s="83"/>
      <c r="H687" s="83"/>
      <c r="I687" s="83"/>
      <c r="J687" s="83"/>
      <c r="K687" s="83"/>
      <c r="L687" s="83"/>
      <c r="M687" s="83"/>
      <c r="N687" s="83"/>
      <c r="O687" s="83"/>
      <c r="P687" s="83"/>
      <c r="Q687" s="83"/>
      <c r="R687" s="83"/>
      <c r="S687" s="83"/>
      <c r="T687" s="83"/>
      <c r="U687" s="83"/>
      <c r="V687" s="83"/>
      <c r="W687" s="83"/>
      <c r="X687" s="83"/>
      <c r="Y687" s="83"/>
      <c r="Z687" s="83"/>
    </row>
    <row r="688" ht="14.25" customHeight="1" spans="1:26" x14ac:dyDescent="0.25">
      <c r="A688" s="83"/>
      <c r="B688" s="83"/>
      <c r="C688" s="83"/>
      <c r="D688" s="83"/>
      <c r="E688" s="83"/>
      <c r="F688" s="83"/>
      <c r="G688" s="83"/>
      <c r="H688" s="83"/>
      <c r="I688" s="83"/>
      <c r="J688" s="83"/>
      <c r="K688" s="83"/>
      <c r="L688" s="83"/>
      <c r="M688" s="83"/>
      <c r="N688" s="83"/>
      <c r="O688" s="83"/>
      <c r="P688" s="83"/>
      <c r="Q688" s="83"/>
      <c r="R688" s="83"/>
      <c r="S688" s="83"/>
      <c r="T688" s="83"/>
      <c r="U688" s="83"/>
      <c r="V688" s="83"/>
      <c r="W688" s="83"/>
      <c r="X688" s="83"/>
      <c r="Y688" s="83"/>
      <c r="Z688" s="83"/>
    </row>
    <row r="689" ht="14.25" customHeight="1" spans="1:26" x14ac:dyDescent="0.25">
      <c r="A689" s="83"/>
      <c r="B689" s="83"/>
      <c r="C689" s="83"/>
      <c r="D689" s="83"/>
      <c r="E689" s="83"/>
      <c r="F689" s="83"/>
      <c r="G689" s="83"/>
      <c r="H689" s="83"/>
      <c r="I689" s="83"/>
      <c r="J689" s="83"/>
      <c r="K689" s="83"/>
      <c r="L689" s="83"/>
      <c r="M689" s="83"/>
      <c r="N689" s="83"/>
      <c r="O689" s="83"/>
      <c r="P689" s="83"/>
      <c r="Q689" s="83"/>
      <c r="R689" s="83"/>
      <c r="S689" s="83"/>
      <c r="T689" s="83"/>
      <c r="U689" s="83"/>
      <c r="V689" s="83"/>
      <c r="W689" s="83"/>
      <c r="X689" s="83"/>
      <c r="Y689" s="83"/>
      <c r="Z689" s="83"/>
    </row>
    <row r="690" ht="14.25" customHeight="1" spans="1:26" x14ac:dyDescent="0.25">
      <c r="A690" s="83"/>
      <c r="B690" s="83"/>
      <c r="C690" s="83"/>
      <c r="D690" s="83"/>
      <c r="E690" s="83"/>
      <c r="F690" s="83"/>
      <c r="G690" s="83"/>
      <c r="H690" s="83"/>
      <c r="I690" s="83"/>
      <c r="J690" s="83"/>
      <c r="K690" s="83"/>
      <c r="L690" s="83"/>
      <c r="M690" s="83"/>
      <c r="N690" s="83"/>
      <c r="O690" s="83"/>
      <c r="P690" s="83"/>
      <c r="Q690" s="83"/>
      <c r="R690" s="83"/>
      <c r="S690" s="83"/>
      <c r="T690" s="83"/>
      <c r="U690" s="83"/>
      <c r="V690" s="83"/>
      <c r="W690" s="83"/>
      <c r="X690" s="83"/>
      <c r="Y690" s="83"/>
      <c r="Z690" s="83"/>
    </row>
    <row r="691" ht="14.25" customHeight="1" spans="1:26" x14ac:dyDescent="0.25">
      <c r="A691" s="83"/>
      <c r="B691" s="83"/>
      <c r="C691" s="83"/>
      <c r="D691" s="83"/>
      <c r="E691" s="83"/>
      <c r="F691" s="83"/>
      <c r="G691" s="83"/>
      <c r="H691" s="83"/>
      <c r="I691" s="83"/>
      <c r="J691" s="83"/>
      <c r="K691" s="83"/>
      <c r="L691" s="83"/>
      <c r="M691" s="83"/>
      <c r="N691" s="83"/>
      <c r="O691" s="83"/>
      <c r="P691" s="83"/>
      <c r="Q691" s="83"/>
      <c r="R691" s="83"/>
      <c r="S691" s="83"/>
      <c r="T691" s="83"/>
      <c r="U691" s="83"/>
      <c r="V691" s="83"/>
      <c r="W691" s="83"/>
      <c r="X691" s="83"/>
      <c r="Y691" s="83"/>
      <c r="Z691" s="83"/>
    </row>
    <row r="692" ht="14.25" customHeight="1" spans="1:26" x14ac:dyDescent="0.25">
      <c r="A692" s="83"/>
      <c r="B692" s="83"/>
      <c r="C692" s="83"/>
      <c r="D692" s="83"/>
      <c r="E692" s="83"/>
      <c r="F692" s="83"/>
      <c r="G692" s="83"/>
      <c r="H692" s="83"/>
      <c r="I692" s="83"/>
      <c r="J692" s="83"/>
      <c r="K692" s="83"/>
      <c r="L692" s="83"/>
      <c r="M692" s="83"/>
      <c r="N692" s="83"/>
      <c r="O692" s="83"/>
      <c r="P692" s="83"/>
      <c r="Q692" s="83"/>
      <c r="R692" s="83"/>
      <c r="S692" s="83"/>
      <c r="T692" s="83"/>
      <c r="U692" s="83"/>
      <c r="V692" s="83"/>
      <c r="W692" s="83"/>
      <c r="X692" s="83"/>
      <c r="Y692" s="83"/>
      <c r="Z692" s="83"/>
    </row>
    <row r="693" ht="14.25" customHeight="1" spans="1:26" x14ac:dyDescent="0.25">
      <c r="A693" s="83"/>
      <c r="B693" s="83"/>
      <c r="C693" s="83"/>
      <c r="D693" s="83"/>
      <c r="E693" s="83"/>
      <c r="F693" s="83"/>
      <c r="G693" s="83"/>
      <c r="H693" s="83"/>
      <c r="I693" s="83"/>
      <c r="J693" s="83"/>
      <c r="K693" s="83"/>
      <c r="L693" s="83"/>
      <c r="M693" s="83"/>
      <c r="N693" s="83"/>
      <c r="O693" s="83"/>
      <c r="P693" s="83"/>
      <c r="Q693" s="83"/>
      <c r="R693" s="83"/>
      <c r="S693" s="83"/>
      <c r="T693" s="83"/>
      <c r="U693" s="83"/>
      <c r="V693" s="83"/>
      <c r="W693" s="83"/>
      <c r="X693" s="83"/>
      <c r="Y693" s="83"/>
      <c r="Z693" s="83"/>
    </row>
    <row r="694" ht="14.25" customHeight="1" spans="1:26" x14ac:dyDescent="0.25">
      <c r="A694" s="83"/>
      <c r="B694" s="83"/>
      <c r="C694" s="83"/>
      <c r="D694" s="83"/>
      <c r="E694" s="83"/>
      <c r="F694" s="83"/>
      <c r="G694" s="83"/>
      <c r="H694" s="83"/>
      <c r="I694" s="83"/>
      <c r="J694" s="83"/>
      <c r="K694" s="83"/>
      <c r="L694" s="83"/>
      <c r="M694" s="83"/>
      <c r="N694" s="83"/>
      <c r="O694" s="83"/>
      <c r="P694" s="83"/>
      <c r="Q694" s="83"/>
      <c r="R694" s="83"/>
      <c r="S694" s="83"/>
      <c r="T694" s="83"/>
      <c r="U694" s="83"/>
      <c r="V694" s="83"/>
      <c r="W694" s="83"/>
      <c r="X694" s="83"/>
      <c r="Y694" s="83"/>
      <c r="Z694" s="83"/>
    </row>
    <row r="695" ht="14.25" customHeight="1" spans="1:26" x14ac:dyDescent="0.25">
      <c r="A695" s="83"/>
      <c r="B695" s="83"/>
      <c r="C695" s="83"/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3"/>
      <c r="S695" s="83"/>
      <c r="T695" s="83"/>
      <c r="U695" s="83"/>
      <c r="V695" s="83"/>
      <c r="W695" s="83"/>
      <c r="X695" s="83"/>
      <c r="Y695" s="83"/>
      <c r="Z695" s="83"/>
    </row>
    <row r="696" ht="14.25" customHeight="1" spans="1:26" x14ac:dyDescent="0.25">
      <c r="A696" s="83"/>
      <c r="B696" s="83"/>
      <c r="C696" s="83"/>
      <c r="D696" s="83"/>
      <c r="E696" s="83"/>
      <c r="F696" s="83"/>
      <c r="G696" s="83"/>
      <c r="H696" s="83"/>
      <c r="I696" s="83"/>
      <c r="J696" s="83"/>
      <c r="K696" s="83"/>
      <c r="L696" s="83"/>
      <c r="M696" s="83"/>
      <c r="N696" s="83"/>
      <c r="O696" s="83"/>
      <c r="P696" s="83"/>
      <c r="Q696" s="83"/>
      <c r="R696" s="83"/>
      <c r="S696" s="83"/>
      <c r="T696" s="83"/>
      <c r="U696" s="83"/>
      <c r="V696" s="83"/>
      <c r="W696" s="83"/>
      <c r="X696" s="83"/>
      <c r="Y696" s="83"/>
      <c r="Z696" s="83"/>
    </row>
    <row r="697" ht="14.25" customHeight="1" spans="1:26" x14ac:dyDescent="0.25">
      <c r="A697" s="83"/>
      <c r="B697" s="83"/>
      <c r="C697" s="83"/>
      <c r="D697" s="83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3"/>
      <c r="P697" s="83"/>
      <c r="Q697" s="83"/>
      <c r="R697" s="83"/>
      <c r="S697" s="83"/>
      <c r="T697" s="83"/>
      <c r="U697" s="83"/>
      <c r="V697" s="83"/>
      <c r="W697" s="83"/>
      <c r="X697" s="83"/>
      <c r="Y697" s="83"/>
      <c r="Z697" s="83"/>
    </row>
    <row r="698" ht="14.25" customHeight="1" spans="1:26" x14ac:dyDescent="0.25">
      <c r="A698" s="83"/>
      <c r="B698" s="83"/>
      <c r="C698" s="83"/>
      <c r="D698" s="83"/>
      <c r="E698" s="83"/>
      <c r="F698" s="83"/>
      <c r="G698" s="83"/>
      <c r="H698" s="83"/>
      <c r="I698" s="83"/>
      <c r="J698" s="83"/>
      <c r="K698" s="83"/>
      <c r="L698" s="83"/>
      <c r="M698" s="83"/>
      <c r="N698" s="83"/>
      <c r="O698" s="83"/>
      <c r="P698" s="83"/>
      <c r="Q698" s="83"/>
      <c r="R698" s="83"/>
      <c r="S698" s="83"/>
      <c r="T698" s="83"/>
      <c r="U698" s="83"/>
      <c r="V698" s="83"/>
      <c r="W698" s="83"/>
      <c r="X698" s="83"/>
      <c r="Y698" s="83"/>
      <c r="Z698" s="83"/>
    </row>
    <row r="699" ht="14.25" customHeight="1" spans="1:26" x14ac:dyDescent="0.25">
      <c r="A699" s="83"/>
      <c r="B699" s="83"/>
      <c r="C699" s="83"/>
      <c r="D699" s="83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  <c r="R699" s="83"/>
      <c r="S699" s="83"/>
      <c r="T699" s="83"/>
      <c r="U699" s="83"/>
      <c r="V699" s="83"/>
      <c r="W699" s="83"/>
      <c r="X699" s="83"/>
      <c r="Y699" s="83"/>
      <c r="Z699" s="83"/>
    </row>
    <row r="700" ht="14.25" customHeight="1" spans="1:26" x14ac:dyDescent="0.25">
      <c r="A700" s="83"/>
      <c r="B700" s="83"/>
      <c r="C700" s="83"/>
      <c r="D700" s="83"/>
      <c r="E700" s="83"/>
      <c r="F700" s="83"/>
      <c r="G700" s="83"/>
      <c r="H700" s="83"/>
      <c r="I700" s="83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83"/>
      <c r="U700" s="83"/>
      <c r="V700" s="83"/>
      <c r="W700" s="83"/>
      <c r="X700" s="83"/>
      <c r="Y700" s="83"/>
      <c r="Z700" s="83"/>
    </row>
    <row r="701" ht="14.25" customHeight="1" spans="1:26" x14ac:dyDescent="0.25">
      <c r="A701" s="83"/>
      <c r="B701" s="83"/>
      <c r="C701" s="83"/>
      <c r="D701" s="83"/>
      <c r="E701" s="83"/>
      <c r="F701" s="83"/>
      <c r="G701" s="83"/>
      <c r="H701" s="83"/>
      <c r="I701" s="83"/>
      <c r="J701" s="83"/>
      <c r="K701" s="83"/>
      <c r="L701" s="83"/>
      <c r="M701" s="83"/>
      <c r="N701" s="83"/>
      <c r="O701" s="83"/>
      <c r="P701" s="83"/>
      <c r="Q701" s="83"/>
      <c r="R701" s="83"/>
      <c r="S701" s="83"/>
      <c r="T701" s="83"/>
      <c r="U701" s="83"/>
      <c r="V701" s="83"/>
      <c r="W701" s="83"/>
      <c r="X701" s="83"/>
      <c r="Y701" s="83"/>
      <c r="Z701" s="83"/>
    </row>
    <row r="702" ht="14.25" customHeight="1" spans="1:26" x14ac:dyDescent="0.25">
      <c r="A702" s="83"/>
      <c r="B702" s="83"/>
      <c r="C702" s="83"/>
      <c r="D702" s="83"/>
      <c r="E702" s="83"/>
      <c r="F702" s="83"/>
      <c r="G702" s="83"/>
      <c r="H702" s="83"/>
      <c r="I702" s="83"/>
      <c r="J702" s="83"/>
      <c r="K702" s="83"/>
      <c r="L702" s="83"/>
      <c r="M702" s="83"/>
      <c r="N702" s="83"/>
      <c r="O702" s="83"/>
      <c r="P702" s="83"/>
      <c r="Q702" s="83"/>
      <c r="R702" s="83"/>
      <c r="S702" s="83"/>
      <c r="T702" s="83"/>
      <c r="U702" s="83"/>
      <c r="V702" s="83"/>
      <c r="W702" s="83"/>
      <c r="X702" s="83"/>
      <c r="Y702" s="83"/>
      <c r="Z702" s="83"/>
    </row>
    <row r="703" ht="14.25" customHeight="1" spans="1:26" x14ac:dyDescent="0.25">
      <c r="A703" s="83"/>
      <c r="B703" s="83"/>
      <c r="C703" s="83"/>
      <c r="D703" s="83"/>
      <c r="E703" s="83"/>
      <c r="F703" s="83"/>
      <c r="G703" s="83"/>
      <c r="H703" s="83"/>
      <c r="I703" s="83"/>
      <c r="J703" s="83"/>
      <c r="K703" s="83"/>
      <c r="L703" s="83"/>
      <c r="M703" s="83"/>
      <c r="N703" s="83"/>
      <c r="O703" s="83"/>
      <c r="P703" s="83"/>
      <c r="Q703" s="83"/>
      <c r="R703" s="83"/>
      <c r="S703" s="83"/>
      <c r="T703" s="83"/>
      <c r="U703" s="83"/>
      <c r="V703" s="83"/>
      <c r="W703" s="83"/>
      <c r="X703" s="83"/>
      <c r="Y703" s="83"/>
      <c r="Z703" s="83"/>
    </row>
    <row r="704" ht="14.25" customHeight="1" spans="1:26" x14ac:dyDescent="0.25">
      <c r="A704" s="83"/>
      <c r="B704" s="83"/>
      <c r="C704" s="83"/>
      <c r="D704" s="83"/>
      <c r="E704" s="83"/>
      <c r="F704" s="83"/>
      <c r="G704" s="83"/>
      <c r="H704" s="83"/>
      <c r="I704" s="83"/>
      <c r="J704" s="83"/>
      <c r="K704" s="83"/>
      <c r="L704" s="83"/>
      <c r="M704" s="83"/>
      <c r="N704" s="83"/>
      <c r="O704" s="83"/>
      <c r="P704" s="83"/>
      <c r="Q704" s="83"/>
      <c r="R704" s="83"/>
      <c r="S704" s="83"/>
      <c r="T704" s="83"/>
      <c r="U704" s="83"/>
      <c r="V704" s="83"/>
      <c r="W704" s="83"/>
      <c r="X704" s="83"/>
      <c r="Y704" s="83"/>
      <c r="Z704" s="83"/>
    </row>
    <row r="705" ht="14.25" customHeight="1" spans="1:26" x14ac:dyDescent="0.25">
      <c r="A705" s="83"/>
      <c r="B705" s="83"/>
      <c r="C705" s="83"/>
      <c r="D705" s="83"/>
      <c r="E705" s="83"/>
      <c r="F705" s="83"/>
      <c r="G705" s="83"/>
      <c r="H705" s="83"/>
      <c r="I705" s="83"/>
      <c r="J705" s="83"/>
      <c r="K705" s="83"/>
      <c r="L705" s="83"/>
      <c r="M705" s="83"/>
      <c r="N705" s="83"/>
      <c r="O705" s="83"/>
      <c r="P705" s="83"/>
      <c r="Q705" s="83"/>
      <c r="R705" s="83"/>
      <c r="S705" s="83"/>
      <c r="T705" s="83"/>
      <c r="U705" s="83"/>
      <c r="V705" s="83"/>
      <c r="W705" s="83"/>
      <c r="X705" s="83"/>
      <c r="Y705" s="83"/>
      <c r="Z705" s="83"/>
    </row>
    <row r="706" ht="14.25" customHeight="1" spans="1:26" x14ac:dyDescent="0.25">
      <c r="A706" s="83"/>
      <c r="B706" s="83"/>
      <c r="C706" s="83"/>
      <c r="D706" s="83"/>
      <c r="E706" s="83"/>
      <c r="F706" s="83"/>
      <c r="G706" s="83"/>
      <c r="H706" s="83"/>
      <c r="I706" s="83"/>
      <c r="J706" s="83"/>
      <c r="K706" s="83"/>
      <c r="L706" s="83"/>
      <c r="M706" s="83"/>
      <c r="N706" s="83"/>
      <c r="O706" s="83"/>
      <c r="P706" s="83"/>
      <c r="Q706" s="83"/>
      <c r="R706" s="83"/>
      <c r="S706" s="83"/>
      <c r="T706" s="83"/>
      <c r="U706" s="83"/>
      <c r="V706" s="83"/>
      <c r="W706" s="83"/>
      <c r="X706" s="83"/>
      <c r="Y706" s="83"/>
      <c r="Z706" s="83"/>
    </row>
    <row r="707" ht="14.25" customHeight="1" spans="1:26" x14ac:dyDescent="0.25">
      <c r="A707" s="83"/>
      <c r="B707" s="83"/>
      <c r="C707" s="83"/>
      <c r="D707" s="83"/>
      <c r="E707" s="83"/>
      <c r="F707" s="83"/>
      <c r="G707" s="83"/>
      <c r="H707" s="83"/>
      <c r="I707" s="83"/>
      <c r="J707" s="83"/>
      <c r="K707" s="83"/>
      <c r="L707" s="83"/>
      <c r="M707" s="83"/>
      <c r="N707" s="83"/>
      <c r="O707" s="83"/>
      <c r="P707" s="83"/>
      <c r="Q707" s="83"/>
      <c r="R707" s="83"/>
      <c r="S707" s="83"/>
      <c r="T707" s="83"/>
      <c r="U707" s="83"/>
      <c r="V707" s="83"/>
      <c r="W707" s="83"/>
      <c r="X707" s="83"/>
      <c r="Y707" s="83"/>
      <c r="Z707" s="83"/>
    </row>
    <row r="708" ht="14.25" customHeight="1" spans="1:26" x14ac:dyDescent="0.25">
      <c r="A708" s="83"/>
      <c r="B708" s="83"/>
      <c r="C708" s="83"/>
      <c r="D708" s="83"/>
      <c r="E708" s="83"/>
      <c r="F708" s="83"/>
      <c r="G708" s="83"/>
      <c r="H708" s="83"/>
      <c r="I708" s="83"/>
      <c r="J708" s="83"/>
      <c r="K708" s="83"/>
      <c r="L708" s="83"/>
      <c r="M708" s="83"/>
      <c r="N708" s="83"/>
      <c r="O708" s="83"/>
      <c r="P708" s="83"/>
      <c r="Q708" s="83"/>
      <c r="R708" s="83"/>
      <c r="S708" s="83"/>
      <c r="T708" s="83"/>
      <c r="U708" s="83"/>
      <c r="V708" s="83"/>
      <c r="W708" s="83"/>
      <c r="X708" s="83"/>
      <c r="Y708" s="83"/>
      <c r="Z708" s="83"/>
    </row>
    <row r="709" ht="14.25" customHeight="1" spans="1:26" x14ac:dyDescent="0.25">
      <c r="A709" s="83"/>
      <c r="B709" s="83"/>
      <c r="C709" s="83"/>
      <c r="D709" s="83"/>
      <c r="E709" s="83"/>
      <c r="F709" s="83"/>
      <c r="G709" s="83"/>
      <c r="H709" s="83"/>
      <c r="I709" s="83"/>
      <c r="J709" s="83"/>
      <c r="K709" s="83"/>
      <c r="L709" s="83"/>
      <c r="M709" s="83"/>
      <c r="N709" s="83"/>
      <c r="O709" s="83"/>
      <c r="P709" s="83"/>
      <c r="Q709" s="83"/>
      <c r="R709" s="83"/>
      <c r="S709" s="83"/>
      <c r="T709" s="83"/>
      <c r="U709" s="83"/>
      <c r="V709" s="83"/>
      <c r="W709" s="83"/>
      <c r="X709" s="83"/>
      <c r="Y709" s="83"/>
      <c r="Z709" s="83"/>
    </row>
    <row r="710" ht="14.25" customHeight="1" spans="1:26" x14ac:dyDescent="0.25">
      <c r="A710" s="83"/>
      <c r="B710" s="83"/>
      <c r="C710" s="83"/>
      <c r="D710" s="83"/>
      <c r="E710" s="83"/>
      <c r="F710" s="83"/>
      <c r="G710" s="83"/>
      <c r="H710" s="83"/>
      <c r="I710" s="83"/>
      <c r="J710" s="83"/>
      <c r="K710" s="83"/>
      <c r="L710" s="83"/>
      <c r="M710" s="83"/>
      <c r="N710" s="83"/>
      <c r="O710" s="83"/>
      <c r="P710" s="83"/>
      <c r="Q710" s="83"/>
      <c r="R710" s="83"/>
      <c r="S710" s="83"/>
      <c r="T710" s="83"/>
      <c r="U710" s="83"/>
      <c r="V710" s="83"/>
      <c r="W710" s="83"/>
      <c r="X710" s="83"/>
      <c r="Y710" s="83"/>
      <c r="Z710" s="83"/>
    </row>
    <row r="711" ht="14.25" customHeight="1" spans="1:26" x14ac:dyDescent="0.25">
      <c r="A711" s="83"/>
      <c r="B711" s="83"/>
      <c r="C711" s="83"/>
      <c r="D711" s="83"/>
      <c r="E711" s="83"/>
      <c r="F711" s="83"/>
      <c r="G711" s="83"/>
      <c r="H711" s="83"/>
      <c r="I711" s="83"/>
      <c r="J711" s="83"/>
      <c r="K711" s="83"/>
      <c r="L711" s="83"/>
      <c r="M711" s="83"/>
      <c r="N711" s="83"/>
      <c r="O711" s="83"/>
      <c r="P711" s="83"/>
      <c r="Q711" s="83"/>
      <c r="R711" s="83"/>
      <c r="S711" s="83"/>
      <c r="T711" s="83"/>
      <c r="U711" s="83"/>
      <c r="V711" s="83"/>
      <c r="W711" s="83"/>
      <c r="X711" s="83"/>
      <c r="Y711" s="83"/>
      <c r="Z711" s="83"/>
    </row>
    <row r="712" ht="14.25" customHeight="1" spans="1:26" x14ac:dyDescent="0.25">
      <c r="A712" s="83"/>
      <c r="B712" s="83"/>
      <c r="C712" s="83"/>
      <c r="D712" s="83"/>
      <c r="E712" s="83"/>
      <c r="F712" s="83"/>
      <c r="G712" s="83"/>
      <c r="H712" s="83"/>
      <c r="I712" s="83"/>
      <c r="J712" s="83"/>
      <c r="K712" s="83"/>
      <c r="L712" s="83"/>
      <c r="M712" s="83"/>
      <c r="N712" s="83"/>
      <c r="O712" s="83"/>
      <c r="P712" s="83"/>
      <c r="Q712" s="83"/>
      <c r="R712" s="83"/>
      <c r="S712" s="83"/>
      <c r="T712" s="83"/>
      <c r="U712" s="83"/>
      <c r="V712" s="83"/>
      <c r="W712" s="83"/>
      <c r="X712" s="83"/>
      <c r="Y712" s="83"/>
      <c r="Z712" s="83"/>
    </row>
    <row r="713" ht="14.25" customHeight="1" spans="1:26" x14ac:dyDescent="0.25">
      <c r="A713" s="83"/>
      <c r="B713" s="83"/>
      <c r="C713" s="83"/>
      <c r="D713" s="83"/>
      <c r="E713" s="83"/>
      <c r="F713" s="83"/>
      <c r="G713" s="83"/>
      <c r="H713" s="83"/>
      <c r="I713" s="83"/>
      <c r="J713" s="83"/>
      <c r="K713" s="83"/>
      <c r="L713" s="83"/>
      <c r="M713" s="83"/>
      <c r="N713" s="83"/>
      <c r="O713" s="83"/>
      <c r="P713" s="83"/>
      <c r="Q713" s="83"/>
      <c r="R713" s="83"/>
      <c r="S713" s="83"/>
      <c r="T713" s="83"/>
      <c r="U713" s="83"/>
      <c r="V713" s="83"/>
      <c r="W713" s="83"/>
      <c r="X713" s="83"/>
      <c r="Y713" s="83"/>
      <c r="Z713" s="83"/>
    </row>
    <row r="714" ht="14.25" customHeight="1" spans="1:26" x14ac:dyDescent="0.25">
      <c r="A714" s="83"/>
      <c r="B714" s="83"/>
      <c r="C714" s="83"/>
      <c r="D714" s="83"/>
      <c r="E714" s="83"/>
      <c r="F714" s="83"/>
      <c r="G714" s="83"/>
      <c r="H714" s="83"/>
      <c r="I714" s="83"/>
      <c r="J714" s="83"/>
      <c r="K714" s="83"/>
      <c r="L714" s="83"/>
      <c r="M714" s="83"/>
      <c r="N714" s="83"/>
      <c r="O714" s="83"/>
      <c r="P714" s="83"/>
      <c r="Q714" s="83"/>
      <c r="R714" s="83"/>
      <c r="S714" s="83"/>
      <c r="T714" s="83"/>
      <c r="U714" s="83"/>
      <c r="V714" s="83"/>
      <c r="W714" s="83"/>
      <c r="X714" s="83"/>
      <c r="Y714" s="83"/>
      <c r="Z714" s="83"/>
    </row>
    <row r="715" ht="14.25" customHeight="1" spans="1:26" x14ac:dyDescent="0.25">
      <c r="A715" s="83"/>
      <c r="B715" s="83"/>
      <c r="C715" s="83"/>
      <c r="D715" s="83"/>
      <c r="E715" s="83"/>
      <c r="F715" s="83"/>
      <c r="G715" s="83"/>
      <c r="H715" s="83"/>
      <c r="I715" s="83"/>
      <c r="J715" s="83"/>
      <c r="K715" s="83"/>
      <c r="L715" s="83"/>
      <c r="M715" s="83"/>
      <c r="N715" s="83"/>
      <c r="O715" s="83"/>
      <c r="P715" s="83"/>
      <c r="Q715" s="83"/>
      <c r="R715" s="83"/>
      <c r="S715" s="83"/>
      <c r="T715" s="83"/>
      <c r="U715" s="83"/>
      <c r="V715" s="83"/>
      <c r="W715" s="83"/>
      <c r="X715" s="83"/>
      <c r="Y715" s="83"/>
      <c r="Z715" s="83"/>
    </row>
    <row r="716" ht="14.25" customHeight="1" spans="1:26" x14ac:dyDescent="0.25">
      <c r="A716" s="83"/>
      <c r="B716" s="83"/>
      <c r="C716" s="83"/>
      <c r="D716" s="83"/>
      <c r="E716" s="83"/>
      <c r="F716" s="83"/>
      <c r="G716" s="83"/>
      <c r="H716" s="83"/>
      <c r="I716" s="83"/>
      <c r="J716" s="83"/>
      <c r="K716" s="83"/>
      <c r="L716" s="83"/>
      <c r="M716" s="83"/>
      <c r="N716" s="83"/>
      <c r="O716" s="83"/>
      <c r="P716" s="83"/>
      <c r="Q716" s="83"/>
      <c r="R716" s="83"/>
      <c r="S716" s="83"/>
      <c r="T716" s="83"/>
      <c r="U716" s="83"/>
      <c r="V716" s="83"/>
      <c r="W716" s="83"/>
      <c r="X716" s="83"/>
      <c r="Y716" s="83"/>
      <c r="Z716" s="83"/>
    </row>
    <row r="717" ht="14.25" customHeight="1" spans="1:26" x14ac:dyDescent="0.25">
      <c r="A717" s="83"/>
      <c r="B717" s="83"/>
      <c r="C717" s="83"/>
      <c r="D717" s="83"/>
      <c r="E717" s="83"/>
      <c r="F717" s="83"/>
      <c r="G717" s="83"/>
      <c r="H717" s="83"/>
      <c r="I717" s="83"/>
      <c r="J717" s="83"/>
      <c r="K717" s="83"/>
      <c r="L717" s="83"/>
      <c r="M717" s="83"/>
      <c r="N717" s="83"/>
      <c r="O717" s="83"/>
      <c r="P717" s="83"/>
      <c r="Q717" s="83"/>
      <c r="R717" s="83"/>
      <c r="S717" s="83"/>
      <c r="T717" s="83"/>
      <c r="U717" s="83"/>
      <c r="V717" s="83"/>
      <c r="W717" s="83"/>
      <c r="X717" s="83"/>
      <c r="Y717" s="83"/>
      <c r="Z717" s="83"/>
    </row>
    <row r="718" ht="14.25" customHeight="1" spans="1:26" x14ac:dyDescent="0.25">
      <c r="A718" s="83"/>
      <c r="B718" s="83"/>
      <c r="C718" s="83"/>
      <c r="D718" s="83"/>
      <c r="E718" s="83"/>
      <c r="F718" s="83"/>
      <c r="G718" s="83"/>
      <c r="H718" s="83"/>
      <c r="I718" s="83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83"/>
      <c r="U718" s="83"/>
      <c r="V718" s="83"/>
      <c r="W718" s="83"/>
      <c r="X718" s="83"/>
      <c r="Y718" s="83"/>
      <c r="Z718" s="83"/>
    </row>
    <row r="719" ht="14.25" customHeight="1" spans="1:26" x14ac:dyDescent="0.25">
      <c r="A719" s="83"/>
      <c r="B719" s="83"/>
      <c r="C719" s="83"/>
      <c r="D719" s="83"/>
      <c r="E719" s="83"/>
      <c r="F719" s="83"/>
      <c r="G719" s="83"/>
      <c r="H719" s="83"/>
      <c r="I719" s="83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83"/>
      <c r="U719" s="83"/>
      <c r="V719" s="83"/>
      <c r="W719" s="83"/>
      <c r="X719" s="83"/>
      <c r="Y719" s="83"/>
      <c r="Z719" s="83"/>
    </row>
    <row r="720" ht="14.25" customHeight="1" spans="1:26" x14ac:dyDescent="0.25">
      <c r="A720" s="83"/>
      <c r="B720" s="83"/>
      <c r="C720" s="83"/>
      <c r="D720" s="83"/>
      <c r="E720" s="83"/>
      <c r="F720" s="83"/>
      <c r="G720" s="83"/>
      <c r="H720" s="83"/>
      <c r="I720" s="83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83"/>
      <c r="U720" s="83"/>
      <c r="V720" s="83"/>
      <c r="W720" s="83"/>
      <c r="X720" s="83"/>
      <c r="Y720" s="83"/>
      <c r="Z720" s="83"/>
    </row>
    <row r="721" ht="14.25" customHeight="1" spans="1:26" x14ac:dyDescent="0.25">
      <c r="A721" s="83"/>
      <c r="B721" s="83"/>
      <c r="C721" s="83"/>
      <c r="D721" s="83"/>
      <c r="E721" s="83"/>
      <c r="F721" s="83"/>
      <c r="G721" s="83"/>
      <c r="H721" s="83"/>
      <c r="I721" s="83"/>
      <c r="J721" s="83"/>
      <c r="K721" s="83"/>
      <c r="L721" s="83"/>
      <c r="M721" s="83"/>
      <c r="N721" s="83"/>
      <c r="O721" s="83"/>
      <c r="P721" s="83"/>
      <c r="Q721" s="83"/>
      <c r="R721" s="83"/>
      <c r="S721" s="83"/>
      <c r="T721" s="83"/>
      <c r="U721" s="83"/>
      <c r="V721" s="83"/>
      <c r="W721" s="83"/>
      <c r="X721" s="83"/>
      <c r="Y721" s="83"/>
      <c r="Z721" s="83"/>
    </row>
    <row r="722" ht="14.25" customHeight="1" spans="1:26" x14ac:dyDescent="0.25">
      <c r="A722" s="83"/>
      <c r="B722" s="83"/>
      <c r="C722" s="83"/>
      <c r="D722" s="83"/>
      <c r="E722" s="83"/>
      <c r="F722" s="83"/>
      <c r="G722" s="83"/>
      <c r="H722" s="83"/>
      <c r="I722" s="83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83"/>
      <c r="U722" s="83"/>
      <c r="V722" s="83"/>
      <c r="W722" s="83"/>
      <c r="X722" s="83"/>
      <c r="Y722" s="83"/>
      <c r="Z722" s="83"/>
    </row>
    <row r="723" ht="14.25" customHeight="1" spans="1:26" x14ac:dyDescent="0.25">
      <c r="A723" s="83"/>
      <c r="B723" s="83"/>
      <c r="C723" s="83"/>
      <c r="D723" s="83"/>
      <c r="E723" s="83"/>
      <c r="F723" s="83"/>
      <c r="G723" s="83"/>
      <c r="H723" s="83"/>
      <c r="I723" s="83"/>
      <c r="J723" s="83"/>
      <c r="K723" s="83"/>
      <c r="L723" s="83"/>
      <c r="M723" s="83"/>
      <c r="N723" s="83"/>
      <c r="O723" s="83"/>
      <c r="P723" s="83"/>
      <c r="Q723" s="83"/>
      <c r="R723" s="83"/>
      <c r="S723" s="83"/>
      <c r="T723" s="83"/>
      <c r="U723" s="83"/>
      <c r="V723" s="83"/>
      <c r="W723" s="83"/>
      <c r="X723" s="83"/>
      <c r="Y723" s="83"/>
      <c r="Z723" s="83"/>
    </row>
    <row r="724" ht="14.25" customHeight="1" spans="1:26" x14ac:dyDescent="0.25">
      <c r="A724" s="83"/>
      <c r="B724" s="83"/>
      <c r="C724" s="83"/>
      <c r="D724" s="83"/>
      <c r="E724" s="83"/>
      <c r="F724" s="83"/>
      <c r="G724" s="83"/>
      <c r="H724" s="83"/>
      <c r="I724" s="83"/>
      <c r="J724" s="83"/>
      <c r="K724" s="83"/>
      <c r="L724" s="83"/>
      <c r="M724" s="83"/>
      <c r="N724" s="83"/>
      <c r="O724" s="83"/>
      <c r="P724" s="83"/>
      <c r="Q724" s="83"/>
      <c r="R724" s="83"/>
      <c r="S724" s="83"/>
      <c r="T724" s="83"/>
      <c r="U724" s="83"/>
      <c r="V724" s="83"/>
      <c r="W724" s="83"/>
      <c r="X724" s="83"/>
      <c r="Y724" s="83"/>
      <c r="Z724" s="83"/>
    </row>
    <row r="725" ht="14.25" customHeight="1" spans="1:26" x14ac:dyDescent="0.25">
      <c r="A725" s="83"/>
      <c r="B725" s="83"/>
      <c r="C725" s="83"/>
      <c r="D725" s="83"/>
      <c r="E725" s="83"/>
      <c r="F725" s="83"/>
      <c r="G725" s="83"/>
      <c r="H725" s="83"/>
      <c r="I725" s="83"/>
      <c r="J725" s="83"/>
      <c r="K725" s="83"/>
      <c r="L725" s="83"/>
      <c r="M725" s="83"/>
      <c r="N725" s="83"/>
      <c r="O725" s="83"/>
      <c r="P725" s="83"/>
      <c r="Q725" s="83"/>
      <c r="R725" s="83"/>
      <c r="S725" s="83"/>
      <c r="T725" s="83"/>
      <c r="U725" s="83"/>
      <c r="V725" s="83"/>
      <c r="W725" s="83"/>
      <c r="X725" s="83"/>
      <c r="Y725" s="83"/>
      <c r="Z725" s="83"/>
    </row>
    <row r="726" ht="14.25" customHeight="1" spans="1:26" x14ac:dyDescent="0.25">
      <c r="A726" s="83"/>
      <c r="B726" s="83"/>
      <c r="C726" s="83"/>
      <c r="D726" s="83"/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83"/>
      <c r="U726" s="83"/>
      <c r="V726" s="83"/>
      <c r="W726" s="83"/>
      <c r="X726" s="83"/>
      <c r="Y726" s="83"/>
      <c r="Z726" s="83"/>
    </row>
    <row r="727" ht="14.25" customHeight="1" spans="1:26" x14ac:dyDescent="0.25">
      <c r="A727" s="83"/>
      <c r="B727" s="83"/>
      <c r="C727" s="83"/>
      <c r="D727" s="83"/>
      <c r="E727" s="83"/>
      <c r="F727" s="83"/>
      <c r="G727" s="83"/>
      <c r="H727" s="83"/>
      <c r="I727" s="83"/>
      <c r="J727" s="83"/>
      <c r="K727" s="83"/>
      <c r="L727" s="83"/>
      <c r="M727" s="83"/>
      <c r="N727" s="83"/>
      <c r="O727" s="83"/>
      <c r="P727" s="83"/>
      <c r="Q727" s="83"/>
      <c r="R727" s="83"/>
      <c r="S727" s="83"/>
      <c r="T727" s="83"/>
      <c r="U727" s="83"/>
      <c r="V727" s="83"/>
      <c r="W727" s="83"/>
      <c r="X727" s="83"/>
      <c r="Y727" s="83"/>
      <c r="Z727" s="83"/>
    </row>
    <row r="728" ht="14.25" customHeight="1" spans="1:26" x14ac:dyDescent="0.25">
      <c r="A728" s="83"/>
      <c r="B728" s="83"/>
      <c r="C728" s="83"/>
      <c r="D728" s="83"/>
      <c r="E728" s="83"/>
      <c r="F728" s="83"/>
      <c r="G728" s="83"/>
      <c r="H728" s="83"/>
      <c r="I728" s="83"/>
      <c r="J728" s="83"/>
      <c r="K728" s="83"/>
      <c r="L728" s="83"/>
      <c r="M728" s="83"/>
      <c r="N728" s="83"/>
      <c r="O728" s="83"/>
      <c r="P728" s="83"/>
      <c r="Q728" s="83"/>
      <c r="R728" s="83"/>
      <c r="S728" s="83"/>
      <c r="T728" s="83"/>
      <c r="U728" s="83"/>
      <c r="V728" s="83"/>
      <c r="W728" s="83"/>
      <c r="X728" s="83"/>
      <c r="Y728" s="83"/>
      <c r="Z728" s="83"/>
    </row>
    <row r="729" ht="14.25" customHeight="1" spans="1:26" x14ac:dyDescent="0.25">
      <c r="A729" s="83"/>
      <c r="B729" s="83"/>
      <c r="C729" s="83"/>
      <c r="D729" s="83"/>
      <c r="E729" s="83"/>
      <c r="F729" s="83"/>
      <c r="G729" s="83"/>
      <c r="H729" s="83"/>
      <c r="I729" s="83"/>
      <c r="J729" s="83"/>
      <c r="K729" s="83"/>
      <c r="L729" s="83"/>
      <c r="M729" s="83"/>
      <c r="N729" s="83"/>
      <c r="O729" s="83"/>
      <c r="P729" s="83"/>
      <c r="Q729" s="83"/>
      <c r="R729" s="83"/>
      <c r="S729" s="83"/>
      <c r="T729" s="83"/>
      <c r="U729" s="83"/>
      <c r="V729" s="83"/>
      <c r="W729" s="83"/>
      <c r="X729" s="83"/>
      <c r="Y729" s="83"/>
      <c r="Z729" s="83"/>
    </row>
    <row r="730" ht="14.25" customHeight="1" spans="1:26" x14ac:dyDescent="0.25">
      <c r="A730" s="83"/>
      <c r="B730" s="83"/>
      <c r="C730" s="83"/>
      <c r="D730" s="83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  <c r="X730" s="83"/>
      <c r="Y730" s="83"/>
      <c r="Z730" s="83"/>
    </row>
    <row r="731" ht="14.25" customHeight="1" spans="1:26" x14ac:dyDescent="0.25">
      <c r="A731" s="83"/>
      <c r="B731" s="83"/>
      <c r="C731" s="83"/>
      <c r="D731" s="83"/>
      <c r="E731" s="83"/>
      <c r="F731" s="83"/>
      <c r="G731" s="83"/>
      <c r="H731" s="83"/>
      <c r="I731" s="83"/>
      <c r="J731" s="83"/>
      <c r="K731" s="83"/>
      <c r="L731" s="83"/>
      <c r="M731" s="83"/>
      <c r="N731" s="83"/>
      <c r="O731" s="83"/>
      <c r="P731" s="83"/>
      <c r="Q731" s="83"/>
      <c r="R731" s="83"/>
      <c r="S731" s="83"/>
      <c r="T731" s="83"/>
      <c r="U731" s="83"/>
      <c r="V731" s="83"/>
      <c r="W731" s="83"/>
      <c r="X731" s="83"/>
      <c r="Y731" s="83"/>
      <c r="Z731" s="83"/>
    </row>
    <row r="732" ht="14.25" customHeight="1" spans="1:26" x14ac:dyDescent="0.25">
      <c r="A732" s="83"/>
      <c r="B732" s="83"/>
      <c r="C732" s="83"/>
      <c r="D732" s="83"/>
      <c r="E732" s="83"/>
      <c r="F732" s="83"/>
      <c r="G732" s="83"/>
      <c r="H732" s="83"/>
      <c r="I732" s="83"/>
      <c r="J732" s="83"/>
      <c r="K732" s="83"/>
      <c r="L732" s="83"/>
      <c r="M732" s="83"/>
      <c r="N732" s="83"/>
      <c r="O732" s="83"/>
      <c r="P732" s="83"/>
      <c r="Q732" s="83"/>
      <c r="R732" s="83"/>
      <c r="S732" s="83"/>
      <c r="T732" s="83"/>
      <c r="U732" s="83"/>
      <c r="V732" s="83"/>
      <c r="W732" s="83"/>
      <c r="X732" s="83"/>
      <c r="Y732" s="83"/>
      <c r="Z732" s="83"/>
    </row>
    <row r="733" ht="14.25" customHeight="1" spans="1:26" x14ac:dyDescent="0.25">
      <c r="A733" s="83"/>
      <c r="B733" s="83"/>
      <c r="C733" s="83"/>
      <c r="D733" s="83"/>
      <c r="E733" s="83"/>
      <c r="F733" s="83"/>
      <c r="G733" s="83"/>
      <c r="H733" s="83"/>
      <c r="I733" s="83"/>
      <c r="J733" s="83"/>
      <c r="K733" s="83"/>
      <c r="L733" s="83"/>
      <c r="M733" s="83"/>
      <c r="N733" s="83"/>
      <c r="O733" s="83"/>
      <c r="P733" s="83"/>
      <c r="Q733" s="83"/>
      <c r="R733" s="83"/>
      <c r="S733" s="83"/>
      <c r="T733" s="83"/>
      <c r="U733" s="83"/>
      <c r="V733" s="83"/>
      <c r="W733" s="83"/>
      <c r="X733" s="83"/>
      <c r="Y733" s="83"/>
      <c r="Z733" s="83"/>
    </row>
    <row r="734" ht="14.25" customHeight="1" spans="1:26" x14ac:dyDescent="0.25">
      <c r="A734" s="83"/>
      <c r="B734" s="83"/>
      <c r="C734" s="83"/>
      <c r="D734" s="83"/>
      <c r="E734" s="83"/>
      <c r="F734" s="83"/>
      <c r="G734" s="83"/>
      <c r="H734" s="83"/>
      <c r="I734" s="83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83"/>
      <c r="U734" s="83"/>
      <c r="V734" s="83"/>
      <c r="W734" s="83"/>
      <c r="X734" s="83"/>
      <c r="Y734" s="83"/>
      <c r="Z734" s="83"/>
    </row>
    <row r="735" ht="14.25" customHeight="1" spans="1:26" x14ac:dyDescent="0.25">
      <c r="A735" s="83"/>
      <c r="B735" s="83"/>
      <c r="C735" s="83"/>
      <c r="D735" s="83"/>
      <c r="E735" s="83"/>
      <c r="F735" s="83"/>
      <c r="G735" s="83"/>
      <c r="H735" s="83"/>
      <c r="I735" s="83"/>
      <c r="J735" s="83"/>
      <c r="K735" s="83"/>
      <c r="L735" s="83"/>
      <c r="M735" s="83"/>
      <c r="N735" s="83"/>
      <c r="O735" s="83"/>
      <c r="P735" s="83"/>
      <c r="Q735" s="83"/>
      <c r="R735" s="83"/>
      <c r="S735" s="83"/>
      <c r="T735" s="83"/>
      <c r="U735" s="83"/>
      <c r="V735" s="83"/>
      <c r="W735" s="83"/>
      <c r="X735" s="83"/>
      <c r="Y735" s="83"/>
      <c r="Z735" s="83"/>
    </row>
    <row r="736" ht="14.25" customHeight="1" spans="1:26" x14ac:dyDescent="0.25">
      <c r="A736" s="83"/>
      <c r="B736" s="83"/>
      <c r="C736" s="83"/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83"/>
      <c r="U736" s="83"/>
      <c r="V736" s="83"/>
      <c r="W736" s="83"/>
      <c r="X736" s="83"/>
      <c r="Y736" s="83"/>
      <c r="Z736" s="83"/>
    </row>
    <row r="737" ht="14.25" customHeight="1" spans="1:26" x14ac:dyDescent="0.25">
      <c r="A737" s="83"/>
      <c r="B737" s="83"/>
      <c r="C737" s="83"/>
      <c r="D737" s="83"/>
      <c r="E737" s="83"/>
      <c r="F737" s="83"/>
      <c r="G737" s="83"/>
      <c r="H737" s="83"/>
      <c r="I737" s="83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83"/>
      <c r="U737" s="83"/>
      <c r="V737" s="83"/>
      <c r="W737" s="83"/>
      <c r="X737" s="83"/>
      <c r="Y737" s="83"/>
      <c r="Z737" s="83"/>
    </row>
    <row r="738" ht="14.25" customHeight="1" spans="1:26" x14ac:dyDescent="0.25">
      <c r="A738" s="83"/>
      <c r="B738" s="83"/>
      <c r="C738" s="83"/>
      <c r="D738" s="83"/>
      <c r="E738" s="83"/>
      <c r="F738" s="83"/>
      <c r="G738" s="83"/>
      <c r="H738" s="83"/>
      <c r="I738" s="83"/>
      <c r="J738" s="83"/>
      <c r="K738" s="83"/>
      <c r="L738" s="83"/>
      <c r="M738" s="83"/>
      <c r="N738" s="83"/>
      <c r="O738" s="83"/>
      <c r="P738" s="83"/>
      <c r="Q738" s="83"/>
      <c r="R738" s="83"/>
      <c r="S738" s="83"/>
      <c r="T738" s="83"/>
      <c r="U738" s="83"/>
      <c r="V738" s="83"/>
      <c r="W738" s="83"/>
      <c r="X738" s="83"/>
      <c r="Y738" s="83"/>
      <c r="Z738" s="83"/>
    </row>
    <row r="739" ht="14.25" customHeight="1" spans="1:26" x14ac:dyDescent="0.25">
      <c r="A739" s="83"/>
      <c r="B739" s="83"/>
      <c r="C739" s="83"/>
      <c r="D739" s="83"/>
      <c r="E739" s="83"/>
      <c r="F739" s="83"/>
      <c r="G739" s="83"/>
      <c r="H739" s="83"/>
      <c r="I739" s="83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83"/>
      <c r="U739" s="83"/>
      <c r="V739" s="83"/>
      <c r="W739" s="83"/>
      <c r="X739" s="83"/>
      <c r="Y739" s="83"/>
      <c r="Z739" s="83"/>
    </row>
    <row r="740" ht="14.25" customHeight="1" spans="1:26" x14ac:dyDescent="0.25">
      <c r="A740" s="83"/>
      <c r="B740" s="83"/>
      <c r="C740" s="83"/>
      <c r="D740" s="83"/>
      <c r="E740" s="83"/>
      <c r="F740" s="83"/>
      <c r="G740" s="83"/>
      <c r="H740" s="83"/>
      <c r="I740" s="83"/>
      <c r="J740" s="83"/>
      <c r="K740" s="83"/>
      <c r="L740" s="83"/>
      <c r="M740" s="83"/>
      <c r="N740" s="83"/>
      <c r="O740" s="83"/>
      <c r="P740" s="83"/>
      <c r="Q740" s="83"/>
      <c r="R740" s="83"/>
      <c r="S740" s="83"/>
      <c r="T740" s="83"/>
      <c r="U740" s="83"/>
      <c r="V740" s="83"/>
      <c r="W740" s="83"/>
      <c r="X740" s="83"/>
      <c r="Y740" s="83"/>
      <c r="Z740" s="83"/>
    </row>
    <row r="741" ht="14.25" customHeight="1" spans="1:26" x14ac:dyDescent="0.25">
      <c r="A741" s="83"/>
      <c r="B741" s="83"/>
      <c r="C741" s="83"/>
      <c r="D741" s="83"/>
      <c r="E741" s="83"/>
      <c r="F741" s="83"/>
      <c r="G741" s="83"/>
      <c r="H741" s="83"/>
      <c r="I741" s="83"/>
      <c r="J741" s="83"/>
      <c r="K741" s="83"/>
      <c r="L741" s="83"/>
      <c r="M741" s="83"/>
      <c r="N741" s="83"/>
      <c r="O741" s="83"/>
      <c r="P741" s="83"/>
      <c r="Q741" s="83"/>
      <c r="R741" s="83"/>
      <c r="S741" s="83"/>
      <c r="T741" s="83"/>
      <c r="U741" s="83"/>
      <c r="V741" s="83"/>
      <c r="W741" s="83"/>
      <c r="X741" s="83"/>
      <c r="Y741" s="83"/>
      <c r="Z741" s="83"/>
    </row>
    <row r="742" ht="14.25" customHeight="1" spans="1:26" x14ac:dyDescent="0.25">
      <c r="A742" s="83"/>
      <c r="B742" s="83"/>
      <c r="C742" s="83"/>
      <c r="D742" s="83"/>
      <c r="E742" s="83"/>
      <c r="F742" s="83"/>
      <c r="G742" s="83"/>
      <c r="H742" s="83"/>
      <c r="I742" s="83"/>
      <c r="J742" s="83"/>
      <c r="K742" s="83"/>
      <c r="L742" s="83"/>
      <c r="M742" s="83"/>
      <c r="N742" s="83"/>
      <c r="O742" s="83"/>
      <c r="P742" s="83"/>
      <c r="Q742" s="83"/>
      <c r="R742" s="83"/>
      <c r="S742" s="83"/>
      <c r="T742" s="83"/>
      <c r="U742" s="83"/>
      <c r="V742" s="83"/>
      <c r="W742" s="83"/>
      <c r="X742" s="83"/>
      <c r="Y742" s="83"/>
      <c r="Z742" s="83"/>
    </row>
    <row r="743" ht="14.25" customHeight="1" spans="1:26" x14ac:dyDescent="0.25">
      <c r="A743" s="83"/>
      <c r="B743" s="83"/>
      <c r="C743" s="83"/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  <c r="X743" s="83"/>
      <c r="Y743" s="83"/>
      <c r="Z743" s="83"/>
    </row>
    <row r="744" ht="14.25" customHeight="1" spans="1:26" x14ac:dyDescent="0.25">
      <c r="A744" s="83"/>
      <c r="B744" s="83"/>
      <c r="C744" s="83"/>
      <c r="D744" s="83"/>
      <c r="E744" s="83"/>
      <c r="F744" s="83"/>
      <c r="G744" s="83"/>
      <c r="H744" s="83"/>
      <c r="I744" s="83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83"/>
      <c r="U744" s="83"/>
      <c r="V744" s="83"/>
      <c r="W744" s="83"/>
      <c r="X744" s="83"/>
      <c r="Y744" s="83"/>
      <c r="Z744" s="83"/>
    </row>
    <row r="745" ht="14.25" customHeight="1" spans="1:26" x14ac:dyDescent="0.25">
      <c r="A745" s="83"/>
      <c r="B745" s="83"/>
      <c r="C745" s="83"/>
      <c r="D745" s="83"/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83"/>
      <c r="U745" s="83"/>
      <c r="V745" s="83"/>
      <c r="W745" s="83"/>
      <c r="X745" s="83"/>
      <c r="Y745" s="83"/>
      <c r="Z745" s="83"/>
    </row>
    <row r="746" ht="14.25" customHeight="1" spans="1:26" x14ac:dyDescent="0.25">
      <c r="A746" s="83"/>
      <c r="B746" s="83"/>
      <c r="C746" s="83"/>
      <c r="D746" s="83"/>
      <c r="E746" s="83"/>
      <c r="F746" s="83"/>
      <c r="G746" s="83"/>
      <c r="H746" s="83"/>
      <c r="I746" s="83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83"/>
      <c r="U746" s="83"/>
      <c r="V746" s="83"/>
      <c r="W746" s="83"/>
      <c r="X746" s="83"/>
      <c r="Y746" s="83"/>
      <c r="Z746" s="83"/>
    </row>
    <row r="747" ht="14.25" customHeight="1" spans="1:26" x14ac:dyDescent="0.25">
      <c r="A747" s="83"/>
      <c r="B747" s="83"/>
      <c r="C747" s="83"/>
      <c r="D747" s="83"/>
      <c r="E747" s="83"/>
      <c r="F747" s="83"/>
      <c r="G747" s="83"/>
      <c r="H747" s="83"/>
      <c r="I747" s="83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83"/>
      <c r="X747" s="83"/>
      <c r="Y747" s="83"/>
      <c r="Z747" s="83"/>
    </row>
    <row r="748" ht="14.25" customHeight="1" spans="1:26" x14ac:dyDescent="0.25">
      <c r="A748" s="83"/>
      <c r="B748" s="83"/>
      <c r="C748" s="83"/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3"/>
      <c r="S748" s="83"/>
      <c r="T748" s="83"/>
      <c r="U748" s="83"/>
      <c r="V748" s="83"/>
      <c r="W748" s="83"/>
      <c r="X748" s="83"/>
      <c r="Y748" s="83"/>
      <c r="Z748" s="83"/>
    </row>
    <row r="749" ht="14.25" customHeight="1" spans="1:26" x14ac:dyDescent="0.25">
      <c r="A749" s="83"/>
      <c r="B749" s="83"/>
      <c r="C749" s="83"/>
      <c r="D749" s="83"/>
      <c r="E749" s="83"/>
      <c r="F749" s="83"/>
      <c r="G749" s="83"/>
      <c r="H749" s="83"/>
      <c r="I749" s="83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83"/>
      <c r="U749" s="83"/>
      <c r="V749" s="83"/>
      <c r="W749" s="83"/>
      <c r="X749" s="83"/>
      <c r="Y749" s="83"/>
      <c r="Z749" s="83"/>
    </row>
    <row r="750" ht="14.25" customHeight="1" spans="1:26" x14ac:dyDescent="0.25">
      <c r="A750" s="83"/>
      <c r="B750" s="83"/>
      <c r="C750" s="83"/>
      <c r="D750" s="83"/>
      <c r="E750" s="83"/>
      <c r="F750" s="83"/>
      <c r="G750" s="83"/>
      <c r="H750" s="83"/>
      <c r="I750" s="83"/>
      <c r="J750" s="83"/>
      <c r="K750" s="83"/>
      <c r="L750" s="83"/>
      <c r="M750" s="83"/>
      <c r="N750" s="83"/>
      <c r="O750" s="83"/>
      <c r="P750" s="83"/>
      <c r="Q750" s="83"/>
      <c r="R750" s="83"/>
      <c r="S750" s="83"/>
      <c r="T750" s="83"/>
      <c r="U750" s="83"/>
      <c r="V750" s="83"/>
      <c r="W750" s="83"/>
      <c r="X750" s="83"/>
      <c r="Y750" s="83"/>
      <c r="Z750" s="83"/>
    </row>
    <row r="751" ht="14.25" customHeight="1" spans="1:26" x14ac:dyDescent="0.25">
      <c r="A751" s="83"/>
      <c r="B751" s="83"/>
      <c r="C751" s="83"/>
      <c r="D751" s="83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3"/>
      <c r="X751" s="83"/>
      <c r="Y751" s="83"/>
      <c r="Z751" s="83"/>
    </row>
    <row r="752" ht="14.25" customHeight="1" spans="1:26" x14ac:dyDescent="0.25">
      <c r="A752" s="83"/>
      <c r="B752" s="83"/>
      <c r="C752" s="83"/>
      <c r="D752" s="83"/>
      <c r="E752" s="83"/>
      <c r="F752" s="83"/>
      <c r="G752" s="83"/>
      <c r="H752" s="83"/>
      <c r="I752" s="83"/>
      <c r="J752" s="83"/>
      <c r="K752" s="83"/>
      <c r="L752" s="83"/>
      <c r="M752" s="83"/>
      <c r="N752" s="83"/>
      <c r="O752" s="83"/>
      <c r="P752" s="83"/>
      <c r="Q752" s="83"/>
      <c r="R752" s="83"/>
      <c r="S752" s="83"/>
      <c r="T752" s="83"/>
      <c r="U752" s="83"/>
      <c r="V752" s="83"/>
      <c r="W752" s="83"/>
      <c r="X752" s="83"/>
      <c r="Y752" s="83"/>
      <c r="Z752" s="83"/>
    </row>
    <row r="753" ht="14.25" customHeight="1" spans="1:26" x14ac:dyDescent="0.25">
      <c r="A753" s="83"/>
      <c r="B753" s="83"/>
      <c r="C753" s="83"/>
      <c r="D753" s="83"/>
      <c r="E753" s="83"/>
      <c r="F753" s="83"/>
      <c r="G753" s="83"/>
      <c r="H753" s="83"/>
      <c r="I753" s="83"/>
      <c r="J753" s="83"/>
      <c r="K753" s="83"/>
      <c r="L753" s="83"/>
      <c r="M753" s="83"/>
      <c r="N753" s="83"/>
      <c r="O753" s="83"/>
      <c r="P753" s="83"/>
      <c r="Q753" s="83"/>
      <c r="R753" s="83"/>
      <c r="S753" s="83"/>
      <c r="T753" s="83"/>
      <c r="U753" s="83"/>
      <c r="V753" s="83"/>
      <c r="W753" s="83"/>
      <c r="X753" s="83"/>
      <c r="Y753" s="83"/>
      <c r="Z753" s="83"/>
    </row>
    <row r="754" ht="14.25" customHeight="1" spans="1:26" x14ac:dyDescent="0.25">
      <c r="A754" s="83"/>
      <c r="B754" s="83"/>
      <c r="C754" s="83"/>
      <c r="D754" s="83"/>
      <c r="E754" s="83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83"/>
      <c r="U754" s="83"/>
      <c r="V754" s="83"/>
      <c r="W754" s="83"/>
      <c r="X754" s="83"/>
      <c r="Y754" s="83"/>
      <c r="Z754" s="83"/>
    </row>
    <row r="755" ht="14.25" customHeight="1" spans="1:26" x14ac:dyDescent="0.25">
      <c r="A755" s="83"/>
      <c r="B755" s="83"/>
      <c r="C755" s="83"/>
      <c r="D755" s="83"/>
      <c r="E755" s="83"/>
      <c r="F755" s="83"/>
      <c r="G755" s="83"/>
      <c r="H755" s="83"/>
      <c r="I755" s="83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83"/>
      <c r="U755" s="83"/>
      <c r="V755" s="83"/>
      <c r="W755" s="83"/>
      <c r="X755" s="83"/>
      <c r="Y755" s="83"/>
      <c r="Z755" s="83"/>
    </row>
    <row r="756" ht="14.25" customHeight="1" spans="1:26" x14ac:dyDescent="0.25">
      <c r="A756" s="83"/>
      <c r="B756" s="83"/>
      <c r="C756" s="83"/>
      <c r="D756" s="83"/>
      <c r="E756" s="83"/>
      <c r="F756" s="83"/>
      <c r="G756" s="83"/>
      <c r="H756" s="83"/>
      <c r="I756" s="83"/>
      <c r="J756" s="83"/>
      <c r="K756" s="83"/>
      <c r="L756" s="83"/>
      <c r="M756" s="83"/>
      <c r="N756" s="83"/>
      <c r="O756" s="83"/>
      <c r="P756" s="83"/>
      <c r="Q756" s="83"/>
      <c r="R756" s="83"/>
      <c r="S756" s="83"/>
      <c r="T756" s="83"/>
      <c r="U756" s="83"/>
      <c r="V756" s="83"/>
      <c r="W756" s="83"/>
      <c r="X756" s="83"/>
      <c r="Y756" s="83"/>
      <c r="Z756" s="83"/>
    </row>
    <row r="757" ht="14.25" customHeight="1" spans="1:26" x14ac:dyDescent="0.25">
      <c r="A757" s="83"/>
      <c r="B757" s="83"/>
      <c r="C757" s="83"/>
      <c r="D757" s="83"/>
      <c r="E757" s="83"/>
      <c r="F757" s="83"/>
      <c r="G757" s="83"/>
      <c r="H757" s="83"/>
      <c r="I757" s="83"/>
      <c r="J757" s="83"/>
      <c r="K757" s="83"/>
      <c r="L757" s="83"/>
      <c r="M757" s="83"/>
      <c r="N757" s="83"/>
      <c r="O757" s="83"/>
      <c r="P757" s="83"/>
      <c r="Q757" s="83"/>
      <c r="R757" s="83"/>
      <c r="S757" s="83"/>
      <c r="T757" s="83"/>
      <c r="U757" s="83"/>
      <c r="V757" s="83"/>
      <c r="W757" s="83"/>
      <c r="X757" s="83"/>
      <c r="Y757" s="83"/>
      <c r="Z757" s="83"/>
    </row>
    <row r="758" ht="14.25" customHeight="1" spans="1:26" x14ac:dyDescent="0.25">
      <c r="A758" s="83"/>
      <c r="B758" s="83"/>
      <c r="C758" s="83"/>
      <c r="D758" s="83"/>
      <c r="E758" s="83"/>
      <c r="F758" s="83"/>
      <c r="G758" s="83"/>
      <c r="H758" s="83"/>
      <c r="I758" s="83"/>
      <c r="J758" s="83"/>
      <c r="K758" s="83"/>
      <c r="L758" s="83"/>
      <c r="M758" s="83"/>
      <c r="N758" s="83"/>
      <c r="O758" s="83"/>
      <c r="P758" s="83"/>
      <c r="Q758" s="83"/>
      <c r="R758" s="83"/>
      <c r="S758" s="83"/>
      <c r="T758" s="83"/>
      <c r="U758" s="83"/>
      <c r="V758" s="83"/>
      <c r="W758" s="83"/>
      <c r="X758" s="83"/>
      <c r="Y758" s="83"/>
      <c r="Z758" s="83"/>
    </row>
    <row r="759" ht="14.25" customHeight="1" spans="1:26" x14ac:dyDescent="0.25">
      <c r="A759" s="83"/>
      <c r="B759" s="83"/>
      <c r="C759" s="83"/>
      <c r="D759" s="83"/>
      <c r="E759" s="83"/>
      <c r="F759" s="83"/>
      <c r="G759" s="83"/>
      <c r="H759" s="83"/>
      <c r="I759" s="83"/>
      <c r="J759" s="83"/>
      <c r="K759" s="83"/>
      <c r="L759" s="83"/>
      <c r="M759" s="83"/>
      <c r="N759" s="83"/>
      <c r="O759" s="83"/>
      <c r="P759" s="83"/>
      <c r="Q759" s="83"/>
      <c r="R759" s="83"/>
      <c r="S759" s="83"/>
      <c r="T759" s="83"/>
      <c r="U759" s="83"/>
      <c r="V759" s="83"/>
      <c r="W759" s="83"/>
      <c r="X759" s="83"/>
      <c r="Y759" s="83"/>
      <c r="Z759" s="83"/>
    </row>
    <row r="760" ht="14.25" customHeight="1" spans="1:26" x14ac:dyDescent="0.25">
      <c r="A760" s="83"/>
      <c r="B760" s="83"/>
      <c r="C760" s="83"/>
      <c r="D760" s="83"/>
      <c r="E760" s="83"/>
      <c r="F760" s="83"/>
      <c r="G760" s="83"/>
      <c r="H760" s="83"/>
      <c r="I760" s="83"/>
      <c r="J760" s="83"/>
      <c r="K760" s="83"/>
      <c r="L760" s="83"/>
      <c r="M760" s="83"/>
      <c r="N760" s="83"/>
      <c r="O760" s="83"/>
      <c r="P760" s="83"/>
      <c r="Q760" s="83"/>
      <c r="R760" s="83"/>
      <c r="S760" s="83"/>
      <c r="T760" s="83"/>
      <c r="U760" s="83"/>
      <c r="V760" s="83"/>
      <c r="W760" s="83"/>
      <c r="X760" s="83"/>
      <c r="Y760" s="83"/>
      <c r="Z760" s="83"/>
    </row>
    <row r="761" ht="14.25" customHeight="1" spans="1:26" x14ac:dyDescent="0.25">
      <c r="A761" s="83"/>
      <c r="B761" s="83"/>
      <c r="C761" s="83"/>
      <c r="D761" s="83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  <c r="X761" s="83"/>
      <c r="Y761" s="83"/>
      <c r="Z761" s="83"/>
    </row>
    <row r="762" ht="14.25" customHeight="1" spans="1:26" x14ac:dyDescent="0.25">
      <c r="A762" s="83"/>
      <c r="B762" s="83"/>
      <c r="C762" s="83"/>
      <c r="D762" s="83"/>
      <c r="E762" s="83"/>
      <c r="F762" s="83"/>
      <c r="G762" s="83"/>
      <c r="H762" s="83"/>
      <c r="I762" s="83"/>
      <c r="J762" s="83"/>
      <c r="K762" s="83"/>
      <c r="L762" s="83"/>
      <c r="M762" s="83"/>
      <c r="N762" s="83"/>
      <c r="O762" s="83"/>
      <c r="P762" s="83"/>
      <c r="Q762" s="83"/>
      <c r="R762" s="83"/>
      <c r="S762" s="83"/>
      <c r="T762" s="83"/>
      <c r="U762" s="83"/>
      <c r="V762" s="83"/>
      <c r="W762" s="83"/>
      <c r="X762" s="83"/>
      <c r="Y762" s="83"/>
      <c r="Z762" s="83"/>
    </row>
    <row r="763" ht="14.25" customHeight="1" spans="1:26" x14ac:dyDescent="0.25">
      <c r="A763" s="83"/>
      <c r="B763" s="83"/>
      <c r="C763" s="83"/>
      <c r="D763" s="83"/>
      <c r="E763" s="83"/>
      <c r="F763" s="83"/>
      <c r="G763" s="83"/>
      <c r="H763" s="83"/>
      <c r="I763" s="83"/>
      <c r="J763" s="83"/>
      <c r="K763" s="83"/>
      <c r="L763" s="83"/>
      <c r="M763" s="83"/>
      <c r="N763" s="83"/>
      <c r="O763" s="83"/>
      <c r="P763" s="83"/>
      <c r="Q763" s="83"/>
      <c r="R763" s="83"/>
      <c r="S763" s="83"/>
      <c r="T763" s="83"/>
      <c r="U763" s="83"/>
      <c r="V763" s="83"/>
      <c r="W763" s="83"/>
      <c r="X763" s="83"/>
      <c r="Y763" s="83"/>
      <c r="Z763" s="83"/>
    </row>
    <row r="764" ht="14.25" customHeight="1" spans="1:26" x14ac:dyDescent="0.25">
      <c r="A764" s="83"/>
      <c r="B764" s="83"/>
      <c r="C764" s="83"/>
      <c r="D764" s="83"/>
      <c r="E764" s="83"/>
      <c r="F764" s="83"/>
      <c r="G764" s="83"/>
      <c r="H764" s="83"/>
      <c r="I764" s="83"/>
      <c r="J764" s="83"/>
      <c r="K764" s="83"/>
      <c r="L764" s="83"/>
      <c r="M764" s="83"/>
      <c r="N764" s="83"/>
      <c r="O764" s="83"/>
      <c r="P764" s="83"/>
      <c r="Q764" s="83"/>
      <c r="R764" s="83"/>
      <c r="S764" s="83"/>
      <c r="T764" s="83"/>
      <c r="U764" s="83"/>
      <c r="V764" s="83"/>
      <c r="W764" s="83"/>
      <c r="X764" s="83"/>
      <c r="Y764" s="83"/>
      <c r="Z764" s="83"/>
    </row>
    <row r="765" ht="14.25" customHeight="1" spans="1:26" x14ac:dyDescent="0.25">
      <c r="A765" s="83"/>
      <c r="B765" s="83"/>
      <c r="C765" s="83"/>
      <c r="D765" s="83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/>
      <c r="V765" s="83"/>
      <c r="W765" s="83"/>
      <c r="X765" s="83"/>
      <c r="Y765" s="83"/>
      <c r="Z765" s="83"/>
    </row>
    <row r="766" ht="14.25" customHeight="1" spans="1:26" x14ac:dyDescent="0.25">
      <c r="A766" s="83"/>
      <c r="B766" s="83"/>
      <c r="C766" s="83"/>
      <c r="D766" s="83"/>
      <c r="E766" s="83"/>
      <c r="F766" s="83"/>
      <c r="G766" s="83"/>
      <c r="H766" s="83"/>
      <c r="I766" s="83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83"/>
      <c r="U766" s="83"/>
      <c r="V766" s="83"/>
      <c r="W766" s="83"/>
      <c r="X766" s="83"/>
      <c r="Y766" s="83"/>
      <c r="Z766" s="83"/>
    </row>
    <row r="767" ht="14.25" customHeight="1" spans="1:26" x14ac:dyDescent="0.25">
      <c r="A767" s="83"/>
      <c r="B767" s="83"/>
      <c r="C767" s="83"/>
      <c r="D767" s="83"/>
      <c r="E767" s="83"/>
      <c r="F767" s="83"/>
      <c r="G767" s="83"/>
      <c r="H767" s="83"/>
      <c r="I767" s="83"/>
      <c r="J767" s="83"/>
      <c r="K767" s="83"/>
      <c r="L767" s="83"/>
      <c r="M767" s="83"/>
      <c r="N767" s="83"/>
      <c r="O767" s="83"/>
      <c r="P767" s="83"/>
      <c r="Q767" s="83"/>
      <c r="R767" s="83"/>
      <c r="S767" s="83"/>
      <c r="T767" s="83"/>
      <c r="U767" s="83"/>
      <c r="V767" s="83"/>
      <c r="W767" s="83"/>
      <c r="X767" s="83"/>
      <c r="Y767" s="83"/>
      <c r="Z767" s="83"/>
    </row>
    <row r="768" ht="14.25" customHeight="1" spans="1:26" x14ac:dyDescent="0.25">
      <c r="A768" s="83"/>
      <c r="B768" s="83"/>
      <c r="C768" s="83"/>
      <c r="D768" s="83"/>
      <c r="E768" s="83"/>
      <c r="F768" s="83"/>
      <c r="G768" s="83"/>
      <c r="H768" s="83"/>
      <c r="I768" s="83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83"/>
      <c r="U768" s="83"/>
      <c r="V768" s="83"/>
      <c r="W768" s="83"/>
      <c r="X768" s="83"/>
      <c r="Y768" s="83"/>
      <c r="Z768" s="83"/>
    </row>
    <row r="769" ht="14.25" customHeight="1" spans="1:26" x14ac:dyDescent="0.25">
      <c r="A769" s="83"/>
      <c r="B769" s="83"/>
      <c r="C769" s="83"/>
      <c r="D769" s="83"/>
      <c r="E769" s="83"/>
      <c r="F769" s="83"/>
      <c r="G769" s="83"/>
      <c r="H769" s="83"/>
      <c r="I769" s="83"/>
      <c r="J769" s="83"/>
      <c r="K769" s="83"/>
      <c r="L769" s="83"/>
      <c r="M769" s="83"/>
      <c r="N769" s="83"/>
      <c r="O769" s="83"/>
      <c r="P769" s="83"/>
      <c r="Q769" s="83"/>
      <c r="R769" s="83"/>
      <c r="S769" s="83"/>
      <c r="T769" s="83"/>
      <c r="U769" s="83"/>
      <c r="V769" s="83"/>
      <c r="W769" s="83"/>
      <c r="X769" s="83"/>
      <c r="Y769" s="83"/>
      <c r="Z769" s="83"/>
    </row>
    <row r="770" ht="14.25" customHeight="1" spans="1:26" x14ac:dyDescent="0.25">
      <c r="A770" s="83"/>
      <c r="B770" s="83"/>
      <c r="C770" s="83"/>
      <c r="D770" s="83"/>
      <c r="E770" s="83"/>
      <c r="F770" s="83"/>
      <c r="G770" s="83"/>
      <c r="H770" s="83"/>
      <c r="I770" s="83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83"/>
      <c r="U770" s="83"/>
      <c r="V770" s="83"/>
      <c r="W770" s="83"/>
      <c r="X770" s="83"/>
      <c r="Y770" s="83"/>
      <c r="Z770" s="83"/>
    </row>
    <row r="771" ht="14.25" customHeight="1" spans="1:26" x14ac:dyDescent="0.25">
      <c r="A771" s="83"/>
      <c r="B771" s="83"/>
      <c r="C771" s="83"/>
      <c r="D771" s="83"/>
      <c r="E771" s="83"/>
      <c r="F771" s="83"/>
      <c r="G771" s="83"/>
      <c r="H771" s="83"/>
      <c r="I771" s="83"/>
      <c r="J771" s="83"/>
      <c r="K771" s="83"/>
      <c r="L771" s="83"/>
      <c r="M771" s="83"/>
      <c r="N771" s="83"/>
      <c r="O771" s="83"/>
      <c r="P771" s="83"/>
      <c r="Q771" s="83"/>
      <c r="R771" s="83"/>
      <c r="S771" s="83"/>
      <c r="T771" s="83"/>
      <c r="U771" s="83"/>
      <c r="V771" s="83"/>
      <c r="W771" s="83"/>
      <c r="X771" s="83"/>
      <c r="Y771" s="83"/>
      <c r="Z771" s="83"/>
    </row>
    <row r="772" ht="14.25" customHeight="1" spans="1:26" x14ac:dyDescent="0.25">
      <c r="A772" s="83"/>
      <c r="B772" s="83"/>
      <c r="C772" s="83"/>
      <c r="D772" s="83"/>
      <c r="E772" s="83"/>
      <c r="F772" s="83"/>
      <c r="G772" s="83"/>
      <c r="H772" s="83"/>
      <c r="I772" s="83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83"/>
      <c r="U772" s="83"/>
      <c r="V772" s="83"/>
      <c r="W772" s="83"/>
      <c r="X772" s="83"/>
      <c r="Y772" s="83"/>
      <c r="Z772" s="83"/>
    </row>
    <row r="773" ht="14.25" customHeight="1" spans="1:26" x14ac:dyDescent="0.25">
      <c r="A773" s="83"/>
      <c r="B773" s="83"/>
      <c r="C773" s="83"/>
      <c r="D773" s="83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  <c r="X773" s="83"/>
      <c r="Y773" s="83"/>
      <c r="Z773" s="83"/>
    </row>
    <row r="774" ht="14.25" customHeight="1" spans="1:26" x14ac:dyDescent="0.25">
      <c r="A774" s="83"/>
      <c r="B774" s="83"/>
      <c r="C774" s="83"/>
      <c r="D774" s="83"/>
      <c r="E774" s="83"/>
      <c r="F774" s="83"/>
      <c r="G774" s="83"/>
      <c r="H774" s="83"/>
      <c r="I774" s="83"/>
      <c r="J774" s="83"/>
      <c r="K774" s="83"/>
      <c r="L774" s="83"/>
      <c r="M774" s="83"/>
      <c r="N774" s="83"/>
      <c r="O774" s="83"/>
      <c r="P774" s="83"/>
      <c r="Q774" s="83"/>
      <c r="R774" s="83"/>
      <c r="S774" s="83"/>
      <c r="T774" s="83"/>
      <c r="U774" s="83"/>
      <c r="V774" s="83"/>
      <c r="W774" s="83"/>
      <c r="X774" s="83"/>
      <c r="Y774" s="83"/>
      <c r="Z774" s="83"/>
    </row>
    <row r="775" ht="14.25" customHeight="1" spans="1:26" x14ac:dyDescent="0.25">
      <c r="A775" s="83"/>
      <c r="B775" s="83"/>
      <c r="C775" s="83"/>
      <c r="D775" s="83"/>
      <c r="E775" s="83"/>
      <c r="F775" s="83"/>
      <c r="G775" s="83"/>
      <c r="H775" s="83"/>
      <c r="I775" s="83"/>
      <c r="J775" s="83"/>
      <c r="K775" s="83"/>
      <c r="L775" s="83"/>
      <c r="M775" s="83"/>
      <c r="N775" s="83"/>
      <c r="O775" s="83"/>
      <c r="P775" s="83"/>
      <c r="Q775" s="83"/>
      <c r="R775" s="83"/>
      <c r="S775" s="83"/>
      <c r="T775" s="83"/>
      <c r="U775" s="83"/>
      <c r="V775" s="83"/>
      <c r="W775" s="83"/>
      <c r="X775" s="83"/>
      <c r="Y775" s="83"/>
      <c r="Z775" s="83"/>
    </row>
    <row r="776" ht="14.25" customHeight="1" spans="1:26" x14ac:dyDescent="0.25">
      <c r="A776" s="83"/>
      <c r="B776" s="83"/>
      <c r="C776" s="83"/>
      <c r="D776" s="83"/>
      <c r="E776" s="83"/>
      <c r="F776" s="83"/>
      <c r="G776" s="83"/>
      <c r="H776" s="83"/>
      <c r="I776" s="83"/>
      <c r="J776" s="83"/>
      <c r="K776" s="83"/>
      <c r="L776" s="83"/>
      <c r="M776" s="83"/>
      <c r="N776" s="83"/>
      <c r="O776" s="83"/>
      <c r="P776" s="83"/>
      <c r="Q776" s="83"/>
      <c r="R776" s="83"/>
      <c r="S776" s="83"/>
      <c r="T776" s="83"/>
      <c r="U776" s="83"/>
      <c r="V776" s="83"/>
      <c r="W776" s="83"/>
      <c r="X776" s="83"/>
      <c r="Y776" s="83"/>
      <c r="Z776" s="83"/>
    </row>
    <row r="777" ht="14.25" customHeight="1" spans="1:26" x14ac:dyDescent="0.25">
      <c r="A777" s="83"/>
      <c r="B777" s="83"/>
      <c r="C777" s="83"/>
      <c r="D777" s="83"/>
      <c r="E777" s="83"/>
      <c r="F777" s="83"/>
      <c r="G777" s="83"/>
      <c r="H777" s="83"/>
      <c r="I777" s="83"/>
      <c r="J777" s="83"/>
      <c r="K777" s="83"/>
      <c r="L777" s="83"/>
      <c r="M777" s="83"/>
      <c r="N777" s="83"/>
      <c r="O777" s="83"/>
      <c r="P777" s="83"/>
      <c r="Q777" s="83"/>
      <c r="R777" s="83"/>
      <c r="S777" s="83"/>
      <c r="T777" s="83"/>
      <c r="U777" s="83"/>
      <c r="V777" s="83"/>
      <c r="W777" s="83"/>
      <c r="X777" s="83"/>
      <c r="Y777" s="83"/>
      <c r="Z777" s="83"/>
    </row>
    <row r="778" ht="14.25" customHeight="1" spans="1:26" x14ac:dyDescent="0.25">
      <c r="A778" s="83"/>
      <c r="B778" s="83"/>
      <c r="C778" s="83"/>
      <c r="D778" s="83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  <c r="X778" s="83"/>
      <c r="Y778" s="83"/>
      <c r="Z778" s="83"/>
    </row>
    <row r="779" ht="14.25" customHeight="1" spans="1:26" x14ac:dyDescent="0.25">
      <c r="A779" s="83"/>
      <c r="B779" s="83"/>
      <c r="C779" s="83"/>
      <c r="D779" s="83"/>
      <c r="E779" s="83"/>
      <c r="F779" s="83"/>
      <c r="G779" s="83"/>
      <c r="H779" s="83"/>
      <c r="I779" s="83"/>
      <c r="J779" s="83"/>
      <c r="K779" s="83"/>
      <c r="L779" s="83"/>
      <c r="M779" s="83"/>
      <c r="N779" s="83"/>
      <c r="O779" s="83"/>
      <c r="P779" s="83"/>
      <c r="Q779" s="83"/>
      <c r="R779" s="83"/>
      <c r="S779" s="83"/>
      <c r="T779" s="83"/>
      <c r="U779" s="83"/>
      <c r="V779" s="83"/>
      <c r="W779" s="83"/>
      <c r="X779" s="83"/>
      <c r="Y779" s="83"/>
      <c r="Z779" s="83"/>
    </row>
    <row r="780" ht="14.25" customHeight="1" spans="1:26" x14ac:dyDescent="0.25">
      <c r="A780" s="83"/>
      <c r="B780" s="83"/>
      <c r="C780" s="83"/>
      <c r="D780" s="83"/>
      <c r="E780" s="83"/>
      <c r="F780" s="83"/>
      <c r="G780" s="83"/>
      <c r="H780" s="83"/>
      <c r="I780" s="83"/>
      <c r="J780" s="83"/>
      <c r="K780" s="83"/>
      <c r="L780" s="83"/>
      <c r="M780" s="83"/>
      <c r="N780" s="83"/>
      <c r="O780" s="83"/>
      <c r="P780" s="83"/>
      <c r="Q780" s="83"/>
      <c r="R780" s="83"/>
      <c r="S780" s="83"/>
      <c r="T780" s="83"/>
      <c r="U780" s="83"/>
      <c r="V780" s="83"/>
      <c r="W780" s="83"/>
      <c r="X780" s="83"/>
      <c r="Y780" s="83"/>
      <c r="Z780" s="83"/>
    </row>
    <row r="781" ht="14.25" customHeight="1" spans="1:26" x14ac:dyDescent="0.25">
      <c r="A781" s="83"/>
      <c r="B781" s="83"/>
      <c r="C781" s="83"/>
      <c r="D781" s="83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83"/>
      <c r="U781" s="83"/>
      <c r="V781" s="83"/>
      <c r="W781" s="83"/>
      <c r="X781" s="83"/>
      <c r="Y781" s="83"/>
      <c r="Z781" s="83"/>
    </row>
    <row r="782" ht="14.25" customHeight="1" spans="1:26" x14ac:dyDescent="0.25">
      <c r="A782" s="83"/>
      <c r="B782" s="83"/>
      <c r="C782" s="83"/>
      <c r="D782" s="83"/>
      <c r="E782" s="83"/>
      <c r="F782" s="83"/>
      <c r="G782" s="83"/>
      <c r="H782" s="83"/>
      <c r="I782" s="83"/>
      <c r="J782" s="83"/>
      <c r="K782" s="83"/>
      <c r="L782" s="83"/>
      <c r="M782" s="83"/>
      <c r="N782" s="83"/>
      <c r="O782" s="83"/>
      <c r="P782" s="83"/>
      <c r="Q782" s="83"/>
      <c r="R782" s="83"/>
      <c r="S782" s="83"/>
      <c r="T782" s="83"/>
      <c r="U782" s="83"/>
      <c r="V782" s="83"/>
      <c r="W782" s="83"/>
      <c r="X782" s="83"/>
      <c r="Y782" s="83"/>
      <c r="Z782" s="83"/>
    </row>
    <row r="783" ht="14.25" customHeight="1" spans="1:26" x14ac:dyDescent="0.25">
      <c r="A783" s="83"/>
      <c r="B783" s="83"/>
      <c r="C783" s="83"/>
      <c r="D783" s="83"/>
      <c r="E783" s="83"/>
      <c r="F783" s="83"/>
      <c r="G783" s="83"/>
      <c r="H783" s="83"/>
      <c r="I783" s="83"/>
      <c r="J783" s="83"/>
      <c r="K783" s="83"/>
      <c r="L783" s="83"/>
      <c r="M783" s="83"/>
      <c r="N783" s="83"/>
      <c r="O783" s="83"/>
      <c r="P783" s="83"/>
      <c r="Q783" s="83"/>
      <c r="R783" s="83"/>
      <c r="S783" s="83"/>
      <c r="T783" s="83"/>
      <c r="U783" s="83"/>
      <c r="V783" s="83"/>
      <c r="W783" s="83"/>
      <c r="X783" s="83"/>
      <c r="Y783" s="83"/>
      <c r="Z783" s="83"/>
    </row>
    <row r="784" ht="14.25" customHeight="1" spans="1:26" x14ac:dyDescent="0.25">
      <c r="A784" s="83"/>
      <c r="B784" s="83"/>
      <c r="C784" s="83"/>
      <c r="D784" s="83"/>
      <c r="E784" s="83"/>
      <c r="F784" s="83"/>
      <c r="G784" s="83"/>
      <c r="H784" s="83"/>
      <c r="I784" s="83"/>
      <c r="J784" s="83"/>
      <c r="K784" s="83"/>
      <c r="L784" s="83"/>
      <c r="M784" s="83"/>
      <c r="N784" s="83"/>
      <c r="O784" s="83"/>
      <c r="P784" s="83"/>
      <c r="Q784" s="83"/>
      <c r="R784" s="83"/>
      <c r="S784" s="83"/>
      <c r="T784" s="83"/>
      <c r="U784" s="83"/>
      <c r="V784" s="83"/>
      <c r="W784" s="83"/>
      <c r="X784" s="83"/>
      <c r="Y784" s="83"/>
      <c r="Z784" s="83"/>
    </row>
    <row r="785" ht="14.25" customHeight="1" spans="1:26" x14ac:dyDescent="0.25">
      <c r="A785" s="83"/>
      <c r="B785" s="83"/>
      <c r="C785" s="83"/>
      <c r="D785" s="83"/>
      <c r="E785" s="83"/>
      <c r="F785" s="83"/>
      <c r="G785" s="83"/>
      <c r="H785" s="83"/>
      <c r="I785" s="83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83"/>
      <c r="U785" s="83"/>
      <c r="V785" s="83"/>
      <c r="W785" s="83"/>
      <c r="X785" s="83"/>
      <c r="Y785" s="83"/>
      <c r="Z785" s="83"/>
    </row>
    <row r="786" ht="14.25" customHeight="1" spans="1:26" x14ac:dyDescent="0.25">
      <c r="A786" s="83"/>
      <c r="B786" s="83"/>
      <c r="C786" s="83"/>
      <c r="D786" s="83"/>
      <c r="E786" s="83"/>
      <c r="F786" s="83"/>
      <c r="G786" s="83"/>
      <c r="H786" s="83"/>
      <c r="I786" s="83"/>
      <c r="J786" s="83"/>
      <c r="K786" s="83"/>
      <c r="L786" s="83"/>
      <c r="M786" s="83"/>
      <c r="N786" s="83"/>
      <c r="O786" s="83"/>
      <c r="P786" s="83"/>
      <c r="Q786" s="83"/>
      <c r="R786" s="83"/>
      <c r="S786" s="83"/>
      <c r="T786" s="83"/>
      <c r="U786" s="83"/>
      <c r="V786" s="83"/>
      <c r="W786" s="83"/>
      <c r="X786" s="83"/>
      <c r="Y786" s="83"/>
      <c r="Z786" s="83"/>
    </row>
    <row r="787" ht="14.25" customHeight="1" spans="1:26" x14ac:dyDescent="0.25">
      <c r="A787" s="83"/>
      <c r="B787" s="83"/>
      <c r="C787" s="83"/>
      <c r="D787" s="83"/>
      <c r="E787" s="83"/>
      <c r="F787" s="83"/>
      <c r="G787" s="83"/>
      <c r="H787" s="83"/>
      <c r="I787" s="83"/>
      <c r="J787" s="83"/>
      <c r="K787" s="83"/>
      <c r="L787" s="83"/>
      <c r="M787" s="83"/>
      <c r="N787" s="83"/>
      <c r="O787" s="83"/>
      <c r="P787" s="83"/>
      <c r="Q787" s="83"/>
      <c r="R787" s="83"/>
      <c r="S787" s="83"/>
      <c r="T787" s="83"/>
      <c r="U787" s="83"/>
      <c r="V787" s="83"/>
      <c r="W787" s="83"/>
      <c r="X787" s="83"/>
      <c r="Y787" s="83"/>
      <c r="Z787" s="83"/>
    </row>
    <row r="788" ht="14.25" customHeight="1" spans="1:26" x14ac:dyDescent="0.25">
      <c r="A788" s="83"/>
      <c r="B788" s="83"/>
      <c r="C788" s="83"/>
      <c r="D788" s="83"/>
      <c r="E788" s="83"/>
      <c r="F788" s="83"/>
      <c r="G788" s="83"/>
      <c r="H788" s="83"/>
      <c r="I788" s="83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83"/>
      <c r="U788" s="83"/>
      <c r="V788" s="83"/>
      <c r="W788" s="83"/>
      <c r="X788" s="83"/>
      <c r="Y788" s="83"/>
      <c r="Z788" s="83"/>
    </row>
    <row r="789" ht="14.25" customHeight="1" spans="1:26" x14ac:dyDescent="0.25">
      <c r="A789" s="83"/>
      <c r="B789" s="83"/>
      <c r="C789" s="83"/>
      <c r="D789" s="83"/>
      <c r="E789" s="83"/>
      <c r="F789" s="83"/>
      <c r="G789" s="83"/>
      <c r="H789" s="83"/>
      <c r="I789" s="83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83"/>
      <c r="U789" s="83"/>
      <c r="V789" s="83"/>
      <c r="W789" s="83"/>
      <c r="X789" s="83"/>
      <c r="Y789" s="83"/>
      <c r="Z789" s="83"/>
    </row>
    <row r="790" ht="14.25" customHeight="1" spans="1:26" x14ac:dyDescent="0.25">
      <c r="A790" s="83"/>
      <c r="B790" s="83"/>
      <c r="C790" s="83"/>
      <c r="D790" s="83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  <c r="X790" s="83"/>
      <c r="Y790" s="83"/>
      <c r="Z790" s="83"/>
    </row>
    <row r="791" ht="14.25" customHeight="1" spans="1:26" x14ac:dyDescent="0.25">
      <c r="A791" s="83"/>
      <c r="B791" s="83"/>
      <c r="C791" s="83"/>
      <c r="D791" s="83"/>
      <c r="E791" s="83"/>
      <c r="F791" s="83"/>
      <c r="G791" s="83"/>
      <c r="H791" s="83"/>
      <c r="I791" s="83"/>
      <c r="J791" s="83"/>
      <c r="K791" s="83"/>
      <c r="L791" s="83"/>
      <c r="M791" s="83"/>
      <c r="N791" s="83"/>
      <c r="O791" s="83"/>
      <c r="P791" s="83"/>
      <c r="Q791" s="83"/>
      <c r="R791" s="83"/>
      <c r="S791" s="83"/>
      <c r="T791" s="83"/>
      <c r="U791" s="83"/>
      <c r="V791" s="83"/>
      <c r="W791" s="83"/>
      <c r="X791" s="83"/>
      <c r="Y791" s="83"/>
      <c r="Z791" s="83"/>
    </row>
    <row r="792" ht="14.25" customHeight="1" spans="1:26" x14ac:dyDescent="0.25">
      <c r="A792" s="83"/>
      <c r="B792" s="83"/>
      <c r="C792" s="83"/>
      <c r="D792" s="83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  <c r="X792" s="83"/>
      <c r="Y792" s="83"/>
      <c r="Z792" s="83"/>
    </row>
    <row r="793" ht="14.25" customHeight="1" spans="1:26" x14ac:dyDescent="0.25">
      <c r="A793" s="83"/>
      <c r="B793" s="83"/>
      <c r="C793" s="83"/>
      <c r="D793" s="83"/>
      <c r="E793" s="83"/>
      <c r="F793" s="83"/>
      <c r="G793" s="83"/>
      <c r="H793" s="83"/>
      <c r="I793" s="83"/>
      <c r="J793" s="83"/>
      <c r="K793" s="83"/>
      <c r="L793" s="83"/>
      <c r="M793" s="83"/>
      <c r="N793" s="83"/>
      <c r="O793" s="83"/>
      <c r="P793" s="83"/>
      <c r="Q793" s="83"/>
      <c r="R793" s="83"/>
      <c r="S793" s="83"/>
      <c r="T793" s="83"/>
      <c r="U793" s="83"/>
      <c r="V793" s="83"/>
      <c r="W793" s="83"/>
      <c r="X793" s="83"/>
      <c r="Y793" s="83"/>
      <c r="Z793" s="83"/>
    </row>
    <row r="794" ht="14.25" customHeight="1" spans="1:26" x14ac:dyDescent="0.25">
      <c r="A794" s="83"/>
      <c r="B794" s="83"/>
      <c r="C794" s="83"/>
      <c r="D794" s="83"/>
      <c r="E794" s="83"/>
      <c r="F794" s="83"/>
      <c r="G794" s="83"/>
      <c r="H794" s="83"/>
      <c r="I794" s="83"/>
      <c r="J794" s="83"/>
      <c r="K794" s="83"/>
      <c r="L794" s="83"/>
      <c r="M794" s="83"/>
      <c r="N794" s="83"/>
      <c r="O794" s="83"/>
      <c r="P794" s="83"/>
      <c r="Q794" s="83"/>
      <c r="R794" s="83"/>
      <c r="S794" s="83"/>
      <c r="T794" s="83"/>
      <c r="U794" s="83"/>
      <c r="V794" s="83"/>
      <c r="W794" s="83"/>
      <c r="X794" s="83"/>
      <c r="Y794" s="83"/>
      <c r="Z794" s="83"/>
    </row>
    <row r="795" ht="14.25" customHeight="1" spans="1:26" x14ac:dyDescent="0.25">
      <c r="A795" s="83"/>
      <c r="B795" s="83"/>
      <c r="C795" s="83"/>
      <c r="D795" s="83"/>
      <c r="E795" s="83"/>
      <c r="F795" s="83"/>
      <c r="G795" s="83"/>
      <c r="H795" s="83"/>
      <c r="I795" s="83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83"/>
      <c r="U795" s="83"/>
      <c r="V795" s="83"/>
      <c r="W795" s="83"/>
      <c r="X795" s="83"/>
      <c r="Y795" s="83"/>
      <c r="Z795" s="83"/>
    </row>
    <row r="796" ht="14.25" customHeight="1" spans="1:26" x14ac:dyDescent="0.25">
      <c r="A796" s="83"/>
      <c r="B796" s="83"/>
      <c r="C796" s="83"/>
      <c r="D796" s="83"/>
      <c r="E796" s="83"/>
      <c r="F796" s="83"/>
      <c r="G796" s="83"/>
      <c r="H796" s="83"/>
      <c r="I796" s="83"/>
      <c r="J796" s="83"/>
      <c r="K796" s="83"/>
      <c r="L796" s="83"/>
      <c r="M796" s="83"/>
      <c r="N796" s="83"/>
      <c r="O796" s="83"/>
      <c r="P796" s="83"/>
      <c r="Q796" s="83"/>
      <c r="R796" s="83"/>
      <c r="S796" s="83"/>
      <c r="T796" s="83"/>
      <c r="U796" s="83"/>
      <c r="V796" s="83"/>
      <c r="W796" s="83"/>
      <c r="X796" s="83"/>
      <c r="Y796" s="83"/>
      <c r="Z796" s="83"/>
    </row>
    <row r="797" ht="14.25" customHeight="1" spans="1:26" x14ac:dyDescent="0.25">
      <c r="A797" s="83"/>
      <c r="B797" s="83"/>
      <c r="C797" s="83"/>
      <c r="D797" s="83"/>
      <c r="E797" s="83"/>
      <c r="F797" s="83"/>
      <c r="G797" s="83"/>
      <c r="H797" s="83"/>
      <c r="I797" s="83"/>
      <c r="J797" s="83"/>
      <c r="K797" s="83"/>
      <c r="L797" s="83"/>
      <c r="M797" s="83"/>
      <c r="N797" s="83"/>
      <c r="O797" s="83"/>
      <c r="P797" s="83"/>
      <c r="Q797" s="83"/>
      <c r="R797" s="83"/>
      <c r="S797" s="83"/>
      <c r="T797" s="83"/>
      <c r="U797" s="83"/>
      <c r="V797" s="83"/>
      <c r="W797" s="83"/>
      <c r="X797" s="83"/>
      <c r="Y797" s="83"/>
      <c r="Z797" s="83"/>
    </row>
    <row r="798" ht="14.25" customHeight="1" spans="1:26" x14ac:dyDescent="0.25">
      <c r="A798" s="83"/>
      <c r="B798" s="83"/>
      <c r="C798" s="83"/>
      <c r="D798" s="83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  <c r="X798" s="83"/>
      <c r="Y798" s="83"/>
      <c r="Z798" s="83"/>
    </row>
    <row r="799" ht="14.25" customHeight="1" spans="1:26" x14ac:dyDescent="0.25">
      <c r="A799" s="83"/>
      <c r="B799" s="83"/>
      <c r="C799" s="83"/>
      <c r="D799" s="83"/>
      <c r="E799" s="83"/>
      <c r="F799" s="83"/>
      <c r="G799" s="83"/>
      <c r="H799" s="83"/>
      <c r="I799" s="83"/>
      <c r="J799" s="83"/>
      <c r="K799" s="83"/>
      <c r="L799" s="83"/>
      <c r="M799" s="83"/>
      <c r="N799" s="83"/>
      <c r="O799" s="83"/>
      <c r="P799" s="83"/>
      <c r="Q799" s="83"/>
      <c r="R799" s="83"/>
      <c r="S799" s="83"/>
      <c r="T799" s="83"/>
      <c r="U799" s="83"/>
      <c r="V799" s="83"/>
      <c r="W799" s="83"/>
      <c r="X799" s="83"/>
      <c r="Y799" s="83"/>
      <c r="Z799" s="83"/>
    </row>
    <row r="800" ht="14.25" customHeight="1" spans="1:26" x14ac:dyDescent="0.25">
      <c r="A800" s="83"/>
      <c r="B800" s="83"/>
      <c r="C800" s="83"/>
      <c r="D800" s="83"/>
      <c r="E800" s="83"/>
      <c r="F800" s="83"/>
      <c r="G800" s="83"/>
      <c r="H800" s="83"/>
      <c r="I800" s="83"/>
      <c r="J800" s="83"/>
      <c r="K800" s="83"/>
      <c r="L800" s="83"/>
      <c r="M800" s="83"/>
      <c r="N800" s="83"/>
      <c r="O800" s="83"/>
      <c r="P800" s="83"/>
      <c r="Q800" s="83"/>
      <c r="R800" s="83"/>
      <c r="S800" s="83"/>
      <c r="T800" s="83"/>
      <c r="U800" s="83"/>
      <c r="V800" s="83"/>
      <c r="W800" s="83"/>
      <c r="X800" s="83"/>
      <c r="Y800" s="83"/>
      <c r="Z800" s="83"/>
    </row>
    <row r="801" ht="14.25" customHeight="1" spans="1:26" x14ac:dyDescent="0.25">
      <c r="A801" s="83"/>
      <c r="B801" s="83"/>
      <c r="C801" s="83"/>
      <c r="D801" s="83"/>
      <c r="E801" s="83"/>
      <c r="F801" s="83"/>
      <c r="G801" s="83"/>
      <c r="H801" s="83"/>
      <c r="I801" s="83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3"/>
      <c r="X801" s="83"/>
      <c r="Y801" s="83"/>
      <c r="Z801" s="83"/>
    </row>
    <row r="802" ht="14.25" customHeight="1" spans="1:26" x14ac:dyDescent="0.25">
      <c r="A802" s="83"/>
      <c r="B802" s="83"/>
      <c r="C802" s="83"/>
      <c r="D802" s="83"/>
      <c r="E802" s="83"/>
      <c r="F802" s="83"/>
      <c r="G802" s="83"/>
      <c r="H802" s="83"/>
      <c r="I802" s="83"/>
      <c r="J802" s="83"/>
      <c r="K802" s="83"/>
      <c r="L802" s="83"/>
      <c r="M802" s="83"/>
      <c r="N802" s="83"/>
      <c r="O802" s="83"/>
      <c r="P802" s="83"/>
      <c r="Q802" s="83"/>
      <c r="R802" s="83"/>
      <c r="S802" s="83"/>
      <c r="T802" s="83"/>
      <c r="U802" s="83"/>
      <c r="V802" s="83"/>
      <c r="W802" s="83"/>
      <c r="X802" s="83"/>
      <c r="Y802" s="83"/>
      <c r="Z802" s="83"/>
    </row>
    <row r="803" ht="14.25" customHeight="1" spans="1:26" x14ac:dyDescent="0.25">
      <c r="A803" s="83"/>
      <c r="B803" s="83"/>
      <c r="C803" s="83"/>
      <c r="D803" s="83"/>
      <c r="E803" s="83"/>
      <c r="F803" s="83"/>
      <c r="G803" s="83"/>
      <c r="H803" s="83"/>
      <c r="I803" s="83"/>
      <c r="J803" s="83"/>
      <c r="K803" s="83"/>
      <c r="L803" s="83"/>
      <c r="M803" s="83"/>
      <c r="N803" s="83"/>
      <c r="O803" s="83"/>
      <c r="P803" s="83"/>
      <c r="Q803" s="83"/>
      <c r="R803" s="83"/>
      <c r="S803" s="83"/>
      <c r="T803" s="83"/>
      <c r="U803" s="83"/>
      <c r="V803" s="83"/>
      <c r="W803" s="83"/>
      <c r="X803" s="83"/>
      <c r="Y803" s="83"/>
      <c r="Z803" s="83"/>
    </row>
    <row r="804" ht="14.25" customHeight="1" spans="1:26" x14ac:dyDescent="0.25">
      <c r="A804" s="83"/>
      <c r="B804" s="83"/>
      <c r="C804" s="83"/>
      <c r="D804" s="83"/>
      <c r="E804" s="83"/>
      <c r="F804" s="83"/>
      <c r="G804" s="83"/>
      <c r="H804" s="83"/>
      <c r="I804" s="83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83"/>
      <c r="U804" s="83"/>
      <c r="V804" s="83"/>
      <c r="W804" s="83"/>
      <c r="X804" s="83"/>
      <c r="Y804" s="83"/>
      <c r="Z804" s="83"/>
    </row>
    <row r="805" ht="14.25" customHeight="1" spans="1:26" x14ac:dyDescent="0.25">
      <c r="A805" s="83"/>
      <c r="B805" s="83"/>
      <c r="C805" s="83"/>
      <c r="D805" s="83"/>
      <c r="E805" s="83"/>
      <c r="F805" s="83"/>
      <c r="G805" s="83"/>
      <c r="H805" s="83"/>
      <c r="I805" s="83"/>
      <c r="J805" s="83"/>
      <c r="K805" s="83"/>
      <c r="L805" s="83"/>
      <c r="M805" s="83"/>
      <c r="N805" s="83"/>
      <c r="O805" s="83"/>
      <c r="P805" s="83"/>
      <c r="Q805" s="83"/>
      <c r="R805" s="83"/>
      <c r="S805" s="83"/>
      <c r="T805" s="83"/>
      <c r="U805" s="83"/>
      <c r="V805" s="83"/>
      <c r="W805" s="83"/>
      <c r="X805" s="83"/>
      <c r="Y805" s="83"/>
      <c r="Z805" s="83"/>
    </row>
    <row r="806" ht="14.25" customHeight="1" spans="1:26" x14ac:dyDescent="0.25">
      <c r="A806" s="83"/>
      <c r="B806" s="83"/>
      <c r="C806" s="83"/>
      <c r="D806" s="83"/>
      <c r="E806" s="83"/>
      <c r="F806" s="83"/>
      <c r="G806" s="83"/>
      <c r="H806" s="83"/>
      <c r="I806" s="83"/>
      <c r="J806" s="83"/>
      <c r="K806" s="83"/>
      <c r="L806" s="83"/>
      <c r="M806" s="83"/>
      <c r="N806" s="83"/>
      <c r="O806" s="83"/>
      <c r="P806" s="83"/>
      <c r="Q806" s="83"/>
      <c r="R806" s="83"/>
      <c r="S806" s="83"/>
      <c r="T806" s="83"/>
      <c r="U806" s="83"/>
      <c r="V806" s="83"/>
      <c r="W806" s="83"/>
      <c r="X806" s="83"/>
      <c r="Y806" s="83"/>
      <c r="Z806" s="83"/>
    </row>
    <row r="807" ht="14.25" customHeight="1" spans="1:26" x14ac:dyDescent="0.25">
      <c r="A807" s="83"/>
      <c r="B807" s="83"/>
      <c r="C807" s="83"/>
      <c r="D807" s="83"/>
      <c r="E807" s="83"/>
      <c r="F807" s="83"/>
      <c r="G807" s="83"/>
      <c r="H807" s="83"/>
      <c r="I807" s="83"/>
      <c r="J807" s="83"/>
      <c r="K807" s="83"/>
      <c r="L807" s="83"/>
      <c r="M807" s="83"/>
      <c r="N807" s="83"/>
      <c r="O807" s="83"/>
      <c r="P807" s="83"/>
      <c r="Q807" s="83"/>
      <c r="R807" s="83"/>
      <c r="S807" s="83"/>
      <c r="T807" s="83"/>
      <c r="U807" s="83"/>
      <c r="V807" s="83"/>
      <c r="W807" s="83"/>
      <c r="X807" s="83"/>
      <c r="Y807" s="83"/>
      <c r="Z807" s="83"/>
    </row>
    <row r="808" ht="14.25" customHeight="1" spans="1:26" x14ac:dyDescent="0.25">
      <c r="A808" s="83"/>
      <c r="B808" s="83"/>
      <c r="C808" s="83"/>
      <c r="D808" s="83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  <c r="X808" s="83"/>
      <c r="Y808" s="83"/>
      <c r="Z808" s="83"/>
    </row>
    <row r="809" ht="14.25" customHeight="1" spans="1:26" x14ac:dyDescent="0.25">
      <c r="A809" s="83"/>
      <c r="B809" s="83"/>
      <c r="C809" s="83"/>
      <c r="D809" s="83"/>
      <c r="E809" s="83"/>
      <c r="F809" s="83"/>
      <c r="G809" s="83"/>
      <c r="H809" s="83"/>
      <c r="I809" s="83"/>
      <c r="J809" s="83"/>
      <c r="K809" s="83"/>
      <c r="L809" s="83"/>
      <c r="M809" s="83"/>
      <c r="N809" s="83"/>
      <c r="O809" s="83"/>
      <c r="P809" s="83"/>
      <c r="Q809" s="83"/>
      <c r="R809" s="83"/>
      <c r="S809" s="83"/>
      <c r="T809" s="83"/>
      <c r="U809" s="83"/>
      <c r="V809" s="83"/>
      <c r="W809" s="83"/>
      <c r="X809" s="83"/>
      <c r="Y809" s="83"/>
      <c r="Z809" s="83"/>
    </row>
    <row r="810" ht="14.25" customHeight="1" spans="1:26" x14ac:dyDescent="0.25">
      <c r="A810" s="83"/>
      <c r="B810" s="83"/>
      <c r="C810" s="83"/>
      <c r="D810" s="83"/>
      <c r="E810" s="83"/>
      <c r="F810" s="83"/>
      <c r="G810" s="83"/>
      <c r="H810" s="83"/>
      <c r="I810" s="83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83"/>
      <c r="U810" s="83"/>
      <c r="V810" s="83"/>
      <c r="W810" s="83"/>
      <c r="X810" s="83"/>
      <c r="Y810" s="83"/>
      <c r="Z810" s="83"/>
    </row>
    <row r="811" ht="14.25" customHeight="1" spans="1:26" x14ac:dyDescent="0.25">
      <c r="A811" s="83"/>
      <c r="B811" s="83"/>
      <c r="C811" s="83"/>
      <c r="D811" s="83"/>
      <c r="E811" s="83"/>
      <c r="F811" s="83"/>
      <c r="G811" s="83"/>
      <c r="H811" s="83"/>
      <c r="I811" s="83"/>
      <c r="J811" s="83"/>
      <c r="K811" s="83"/>
      <c r="L811" s="83"/>
      <c r="M811" s="83"/>
      <c r="N811" s="83"/>
      <c r="O811" s="83"/>
      <c r="P811" s="83"/>
      <c r="Q811" s="83"/>
      <c r="R811" s="83"/>
      <c r="S811" s="83"/>
      <c r="T811" s="83"/>
      <c r="U811" s="83"/>
      <c r="V811" s="83"/>
      <c r="W811" s="83"/>
      <c r="X811" s="83"/>
      <c r="Y811" s="83"/>
      <c r="Z811" s="83"/>
    </row>
    <row r="812" ht="14.25" customHeight="1" spans="1:26" x14ac:dyDescent="0.25">
      <c r="A812" s="83"/>
      <c r="B812" s="83"/>
      <c r="C812" s="83"/>
      <c r="D812" s="83"/>
      <c r="E812" s="83"/>
      <c r="F812" s="83"/>
      <c r="G812" s="83"/>
      <c r="H812" s="83"/>
      <c r="I812" s="83"/>
      <c r="J812" s="83"/>
      <c r="K812" s="83"/>
      <c r="L812" s="83"/>
      <c r="M812" s="83"/>
      <c r="N812" s="83"/>
      <c r="O812" s="83"/>
      <c r="P812" s="83"/>
      <c r="Q812" s="83"/>
      <c r="R812" s="83"/>
      <c r="S812" s="83"/>
      <c r="T812" s="83"/>
      <c r="U812" s="83"/>
      <c r="V812" s="83"/>
      <c r="W812" s="83"/>
      <c r="X812" s="83"/>
      <c r="Y812" s="83"/>
      <c r="Z812" s="83"/>
    </row>
    <row r="813" ht="14.25" customHeight="1" spans="1:26" x14ac:dyDescent="0.25">
      <c r="A813" s="83"/>
      <c r="B813" s="83"/>
      <c r="C813" s="83"/>
      <c r="D813" s="83"/>
      <c r="E813" s="83"/>
      <c r="F813" s="83"/>
      <c r="G813" s="83"/>
      <c r="H813" s="83"/>
      <c r="I813" s="83"/>
      <c r="J813" s="83"/>
      <c r="K813" s="83"/>
      <c r="L813" s="83"/>
      <c r="M813" s="83"/>
      <c r="N813" s="83"/>
      <c r="O813" s="83"/>
      <c r="P813" s="83"/>
      <c r="Q813" s="83"/>
      <c r="R813" s="83"/>
      <c r="S813" s="83"/>
      <c r="T813" s="83"/>
      <c r="U813" s="83"/>
      <c r="V813" s="83"/>
      <c r="W813" s="83"/>
      <c r="X813" s="83"/>
      <c r="Y813" s="83"/>
      <c r="Z813" s="83"/>
    </row>
    <row r="814" ht="14.25" customHeight="1" spans="1:26" x14ac:dyDescent="0.25">
      <c r="A814" s="83"/>
      <c r="B814" s="83"/>
      <c r="C814" s="83"/>
      <c r="D814" s="83"/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83"/>
      <c r="U814" s="83"/>
      <c r="V814" s="83"/>
      <c r="W814" s="83"/>
      <c r="X814" s="83"/>
      <c r="Y814" s="83"/>
      <c r="Z814" s="83"/>
    </row>
    <row r="815" ht="14.25" customHeight="1" spans="1:26" x14ac:dyDescent="0.25">
      <c r="A815" s="83"/>
      <c r="B815" s="83"/>
      <c r="C815" s="83"/>
      <c r="D815" s="83"/>
      <c r="E815" s="83"/>
      <c r="F815" s="83"/>
      <c r="G815" s="83"/>
      <c r="H815" s="83"/>
      <c r="I815" s="83"/>
      <c r="J815" s="83"/>
      <c r="K815" s="83"/>
      <c r="L815" s="83"/>
      <c r="M815" s="83"/>
      <c r="N815" s="83"/>
      <c r="O815" s="83"/>
      <c r="P815" s="83"/>
      <c r="Q815" s="83"/>
      <c r="R815" s="83"/>
      <c r="S815" s="83"/>
      <c r="T815" s="83"/>
      <c r="U815" s="83"/>
      <c r="V815" s="83"/>
      <c r="W815" s="83"/>
      <c r="X815" s="83"/>
      <c r="Y815" s="83"/>
      <c r="Z815" s="83"/>
    </row>
    <row r="816" ht="14.25" customHeight="1" spans="1:26" x14ac:dyDescent="0.25">
      <c r="A816" s="83"/>
      <c r="B816" s="83"/>
      <c r="C816" s="83"/>
      <c r="D816" s="83"/>
      <c r="E816" s="83"/>
      <c r="F816" s="83"/>
      <c r="G816" s="83"/>
      <c r="H816" s="83"/>
      <c r="I816" s="83"/>
      <c r="J816" s="83"/>
      <c r="K816" s="83"/>
      <c r="L816" s="83"/>
      <c r="M816" s="83"/>
      <c r="N816" s="83"/>
      <c r="O816" s="83"/>
      <c r="P816" s="83"/>
      <c r="Q816" s="83"/>
      <c r="R816" s="83"/>
      <c r="S816" s="83"/>
      <c r="T816" s="83"/>
      <c r="U816" s="83"/>
      <c r="V816" s="83"/>
      <c r="W816" s="83"/>
      <c r="X816" s="83"/>
      <c r="Y816" s="83"/>
      <c r="Z816" s="83"/>
    </row>
    <row r="817" ht="14.25" customHeight="1" spans="1:26" x14ac:dyDescent="0.25">
      <c r="A817" s="83"/>
      <c r="B817" s="83"/>
      <c r="C817" s="83"/>
      <c r="D817" s="83"/>
      <c r="E817" s="83"/>
      <c r="F817" s="83"/>
      <c r="G817" s="83"/>
      <c r="H817" s="83"/>
      <c r="I817" s="83"/>
      <c r="J817" s="83"/>
      <c r="K817" s="83"/>
      <c r="L817" s="83"/>
      <c r="M817" s="83"/>
      <c r="N817" s="83"/>
      <c r="O817" s="83"/>
      <c r="P817" s="83"/>
      <c r="Q817" s="83"/>
      <c r="R817" s="83"/>
      <c r="S817" s="83"/>
      <c r="T817" s="83"/>
      <c r="U817" s="83"/>
      <c r="V817" s="83"/>
      <c r="W817" s="83"/>
      <c r="X817" s="83"/>
      <c r="Y817" s="83"/>
      <c r="Z817" s="83"/>
    </row>
    <row r="818" ht="14.25" customHeight="1" spans="1:26" x14ac:dyDescent="0.25">
      <c r="A818" s="83"/>
      <c r="B818" s="83"/>
      <c r="C818" s="83"/>
      <c r="D818" s="83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83"/>
      <c r="U818" s="83"/>
      <c r="V818" s="83"/>
      <c r="W818" s="83"/>
      <c r="X818" s="83"/>
      <c r="Y818" s="83"/>
      <c r="Z818" s="83"/>
    </row>
    <row r="819" ht="14.25" customHeight="1" spans="1:26" x14ac:dyDescent="0.25">
      <c r="A819" s="83"/>
      <c r="B819" s="83"/>
      <c r="C819" s="83"/>
      <c r="D819" s="83"/>
      <c r="E819" s="83"/>
      <c r="F819" s="83"/>
      <c r="G819" s="83"/>
      <c r="H819" s="83"/>
      <c r="I819" s="83"/>
      <c r="J819" s="83"/>
      <c r="K819" s="83"/>
      <c r="L819" s="83"/>
      <c r="M819" s="83"/>
      <c r="N819" s="83"/>
      <c r="O819" s="83"/>
      <c r="P819" s="83"/>
      <c r="Q819" s="83"/>
      <c r="R819" s="83"/>
      <c r="S819" s="83"/>
      <c r="T819" s="83"/>
      <c r="U819" s="83"/>
      <c r="V819" s="83"/>
      <c r="W819" s="83"/>
      <c r="X819" s="83"/>
      <c r="Y819" s="83"/>
      <c r="Z819" s="83"/>
    </row>
    <row r="820" ht="14.25" customHeight="1" spans="1:26" x14ac:dyDescent="0.25">
      <c r="A820" s="83"/>
      <c r="B820" s="83"/>
      <c r="C820" s="83"/>
      <c r="D820" s="83"/>
      <c r="E820" s="83"/>
      <c r="F820" s="83"/>
      <c r="G820" s="83"/>
      <c r="H820" s="83"/>
      <c r="I820" s="83"/>
      <c r="J820" s="83"/>
      <c r="K820" s="83"/>
      <c r="L820" s="83"/>
      <c r="M820" s="83"/>
      <c r="N820" s="83"/>
      <c r="O820" s="83"/>
      <c r="P820" s="83"/>
      <c r="Q820" s="83"/>
      <c r="R820" s="83"/>
      <c r="S820" s="83"/>
      <c r="T820" s="83"/>
      <c r="U820" s="83"/>
      <c r="V820" s="83"/>
      <c r="W820" s="83"/>
      <c r="X820" s="83"/>
      <c r="Y820" s="83"/>
      <c r="Z820" s="83"/>
    </row>
    <row r="821" ht="14.25" customHeight="1" spans="1:26" x14ac:dyDescent="0.25">
      <c r="A821" s="83"/>
      <c r="B821" s="83"/>
      <c r="C821" s="83"/>
      <c r="D821" s="83"/>
      <c r="E821" s="83"/>
      <c r="F821" s="83"/>
      <c r="G821" s="83"/>
      <c r="H821" s="83"/>
      <c r="I821" s="83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83"/>
      <c r="U821" s="83"/>
      <c r="V821" s="83"/>
      <c r="W821" s="83"/>
      <c r="X821" s="83"/>
      <c r="Y821" s="83"/>
      <c r="Z821" s="83"/>
    </row>
    <row r="822" ht="14.25" customHeight="1" spans="1:26" x14ac:dyDescent="0.25">
      <c r="A822" s="83"/>
      <c r="B822" s="83"/>
      <c r="C822" s="83"/>
      <c r="D822" s="83"/>
      <c r="E822" s="83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T822" s="83"/>
      <c r="U822" s="83"/>
      <c r="V822" s="83"/>
      <c r="W822" s="83"/>
      <c r="X822" s="83"/>
      <c r="Y822" s="83"/>
      <c r="Z822" s="83"/>
    </row>
    <row r="823" ht="14.25" customHeight="1" spans="1:26" x14ac:dyDescent="0.25">
      <c r="A823" s="83"/>
      <c r="B823" s="83"/>
      <c r="C823" s="83"/>
      <c r="D823" s="83"/>
      <c r="E823" s="83"/>
      <c r="F823" s="83"/>
      <c r="G823" s="83"/>
      <c r="H823" s="83"/>
      <c r="I823" s="83"/>
      <c r="J823" s="83"/>
      <c r="K823" s="83"/>
      <c r="L823" s="83"/>
      <c r="M823" s="83"/>
      <c r="N823" s="83"/>
      <c r="O823" s="83"/>
      <c r="P823" s="83"/>
      <c r="Q823" s="83"/>
      <c r="R823" s="83"/>
      <c r="S823" s="83"/>
      <c r="T823" s="83"/>
      <c r="U823" s="83"/>
      <c r="V823" s="83"/>
      <c r="W823" s="83"/>
      <c r="X823" s="83"/>
      <c r="Y823" s="83"/>
      <c r="Z823" s="83"/>
    </row>
    <row r="824" ht="14.25" customHeight="1" spans="1:26" x14ac:dyDescent="0.25">
      <c r="A824" s="83"/>
      <c r="B824" s="83"/>
      <c r="C824" s="83"/>
      <c r="D824" s="83"/>
      <c r="E824" s="83"/>
      <c r="F824" s="83"/>
      <c r="G824" s="83"/>
      <c r="H824" s="83"/>
      <c r="I824" s="83"/>
      <c r="J824" s="83"/>
      <c r="K824" s="83"/>
      <c r="L824" s="83"/>
      <c r="M824" s="83"/>
      <c r="N824" s="83"/>
      <c r="O824" s="83"/>
      <c r="P824" s="83"/>
      <c r="Q824" s="83"/>
      <c r="R824" s="83"/>
      <c r="S824" s="83"/>
      <c r="T824" s="83"/>
      <c r="U824" s="83"/>
      <c r="V824" s="83"/>
      <c r="W824" s="83"/>
      <c r="X824" s="83"/>
      <c r="Y824" s="83"/>
      <c r="Z824" s="83"/>
    </row>
    <row r="825" ht="14.25" customHeight="1" spans="1:26" x14ac:dyDescent="0.25">
      <c r="A825" s="83"/>
      <c r="B825" s="83"/>
      <c r="C825" s="83"/>
      <c r="D825" s="83"/>
      <c r="E825" s="83"/>
      <c r="F825" s="83"/>
      <c r="G825" s="83"/>
      <c r="H825" s="83"/>
      <c r="I825" s="83"/>
      <c r="J825" s="83"/>
      <c r="K825" s="83"/>
      <c r="L825" s="83"/>
      <c r="M825" s="83"/>
      <c r="N825" s="83"/>
      <c r="O825" s="83"/>
      <c r="P825" s="83"/>
      <c r="Q825" s="83"/>
      <c r="R825" s="83"/>
      <c r="S825" s="83"/>
      <c r="T825" s="83"/>
      <c r="U825" s="83"/>
      <c r="V825" s="83"/>
      <c r="W825" s="83"/>
      <c r="X825" s="83"/>
      <c r="Y825" s="83"/>
      <c r="Z825" s="83"/>
    </row>
    <row r="826" ht="14.25" customHeight="1" spans="1:26" x14ac:dyDescent="0.25">
      <c r="A826" s="83"/>
      <c r="B826" s="83"/>
      <c r="C826" s="83"/>
      <c r="D826" s="83"/>
      <c r="E826" s="83"/>
      <c r="F826" s="83"/>
      <c r="G826" s="83"/>
      <c r="H826" s="83"/>
      <c r="I826" s="83"/>
      <c r="J826" s="83"/>
      <c r="K826" s="83"/>
      <c r="L826" s="83"/>
      <c r="M826" s="83"/>
      <c r="N826" s="83"/>
      <c r="O826" s="83"/>
      <c r="P826" s="83"/>
      <c r="Q826" s="83"/>
      <c r="R826" s="83"/>
      <c r="S826" s="83"/>
      <c r="T826" s="83"/>
      <c r="U826" s="83"/>
      <c r="V826" s="83"/>
      <c r="W826" s="83"/>
      <c r="X826" s="83"/>
      <c r="Y826" s="83"/>
      <c r="Z826" s="83"/>
    </row>
    <row r="827" ht="14.25" customHeight="1" spans="1:26" x14ac:dyDescent="0.25">
      <c r="A827" s="83"/>
      <c r="B827" s="83"/>
      <c r="C827" s="83"/>
      <c r="D827" s="83"/>
      <c r="E827" s="83"/>
      <c r="F827" s="83"/>
      <c r="G827" s="83"/>
      <c r="H827" s="83"/>
      <c r="I827" s="83"/>
      <c r="J827" s="83"/>
      <c r="K827" s="83"/>
      <c r="L827" s="83"/>
      <c r="M827" s="83"/>
      <c r="N827" s="83"/>
      <c r="O827" s="83"/>
      <c r="P827" s="83"/>
      <c r="Q827" s="83"/>
      <c r="R827" s="83"/>
      <c r="S827" s="83"/>
      <c r="T827" s="83"/>
      <c r="U827" s="83"/>
      <c r="V827" s="83"/>
      <c r="W827" s="83"/>
      <c r="X827" s="83"/>
      <c r="Y827" s="83"/>
      <c r="Z827" s="83"/>
    </row>
    <row r="828" ht="14.25" customHeight="1" spans="1:26" x14ac:dyDescent="0.25">
      <c r="A828" s="83"/>
      <c r="B828" s="83"/>
      <c r="C828" s="83"/>
      <c r="D828" s="83"/>
      <c r="E828" s="83"/>
      <c r="F828" s="83"/>
      <c r="G828" s="83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83"/>
      <c r="U828" s="83"/>
      <c r="V828" s="83"/>
      <c r="W828" s="83"/>
      <c r="X828" s="83"/>
      <c r="Y828" s="83"/>
      <c r="Z828" s="83"/>
    </row>
    <row r="829" ht="14.25" customHeight="1" spans="1:26" x14ac:dyDescent="0.25">
      <c r="A829" s="83"/>
      <c r="B829" s="83"/>
      <c r="C829" s="83"/>
      <c r="D829" s="83"/>
      <c r="E829" s="83"/>
      <c r="F829" s="83"/>
      <c r="G829" s="83"/>
      <c r="H829" s="83"/>
      <c r="I829" s="83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83"/>
      <c r="U829" s="83"/>
      <c r="V829" s="83"/>
      <c r="W829" s="83"/>
      <c r="X829" s="83"/>
      <c r="Y829" s="83"/>
      <c r="Z829" s="83"/>
    </row>
    <row r="830" ht="14.25" customHeight="1" spans="1:26" x14ac:dyDescent="0.25">
      <c r="A830" s="83"/>
      <c r="B830" s="83"/>
      <c r="C830" s="83"/>
      <c r="D830" s="83"/>
      <c r="E830" s="83"/>
      <c r="F830" s="83"/>
      <c r="G830" s="83"/>
      <c r="H830" s="83"/>
      <c r="I830" s="83"/>
      <c r="J830" s="83"/>
      <c r="K830" s="83"/>
      <c r="L830" s="83"/>
      <c r="M830" s="83"/>
      <c r="N830" s="83"/>
      <c r="O830" s="83"/>
      <c r="P830" s="83"/>
      <c r="Q830" s="83"/>
      <c r="R830" s="83"/>
      <c r="S830" s="83"/>
      <c r="T830" s="83"/>
      <c r="U830" s="83"/>
      <c r="V830" s="83"/>
      <c r="W830" s="83"/>
      <c r="X830" s="83"/>
      <c r="Y830" s="83"/>
      <c r="Z830" s="83"/>
    </row>
    <row r="831" ht="14.25" customHeight="1" spans="1:26" x14ac:dyDescent="0.25">
      <c r="A831" s="83"/>
      <c r="B831" s="83"/>
      <c r="C831" s="83"/>
      <c r="D831" s="83"/>
      <c r="E831" s="83"/>
      <c r="F831" s="83"/>
      <c r="G831" s="83"/>
      <c r="H831" s="83"/>
      <c r="I831" s="83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3"/>
      <c r="X831" s="83"/>
      <c r="Y831" s="83"/>
      <c r="Z831" s="83"/>
    </row>
    <row r="832" ht="14.25" customHeight="1" spans="1:26" x14ac:dyDescent="0.25">
      <c r="A832" s="83"/>
      <c r="B832" s="83"/>
      <c r="C832" s="83"/>
      <c r="D832" s="83"/>
      <c r="E832" s="83"/>
      <c r="F832" s="83"/>
      <c r="G832" s="83"/>
      <c r="H832" s="83"/>
      <c r="I832" s="83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83"/>
      <c r="U832" s="83"/>
      <c r="V832" s="83"/>
      <c r="W832" s="83"/>
      <c r="X832" s="83"/>
      <c r="Y832" s="83"/>
      <c r="Z832" s="83"/>
    </row>
    <row r="833" ht="14.25" customHeight="1" spans="1:26" x14ac:dyDescent="0.25">
      <c r="A833" s="83"/>
      <c r="B833" s="83"/>
      <c r="C833" s="83"/>
      <c r="D833" s="83"/>
      <c r="E833" s="83"/>
      <c r="F833" s="83"/>
      <c r="G833" s="83"/>
      <c r="H833" s="83"/>
      <c r="I833" s="83"/>
      <c r="J833" s="83"/>
      <c r="K833" s="83"/>
      <c r="L833" s="83"/>
      <c r="M833" s="83"/>
      <c r="N833" s="83"/>
      <c r="O833" s="83"/>
      <c r="P833" s="83"/>
      <c r="Q833" s="83"/>
      <c r="R833" s="83"/>
      <c r="S833" s="83"/>
      <c r="T833" s="83"/>
      <c r="U833" s="83"/>
      <c r="V833" s="83"/>
      <c r="W833" s="83"/>
      <c r="X833" s="83"/>
      <c r="Y833" s="83"/>
      <c r="Z833" s="83"/>
    </row>
    <row r="834" ht="14.25" customHeight="1" spans="1:26" x14ac:dyDescent="0.25">
      <c r="A834" s="83"/>
      <c r="B834" s="83"/>
      <c r="C834" s="83"/>
      <c r="D834" s="83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  <c r="X834" s="83"/>
      <c r="Y834" s="83"/>
      <c r="Z834" s="83"/>
    </row>
    <row r="835" ht="14.25" customHeight="1" spans="1:26" x14ac:dyDescent="0.25">
      <c r="A835" s="83"/>
      <c r="B835" s="83"/>
      <c r="C835" s="83"/>
      <c r="D835" s="83"/>
      <c r="E835" s="83"/>
      <c r="F835" s="83"/>
      <c r="G835" s="83"/>
      <c r="H835" s="83"/>
      <c r="I835" s="83"/>
      <c r="J835" s="83"/>
      <c r="K835" s="83"/>
      <c r="L835" s="83"/>
      <c r="M835" s="83"/>
      <c r="N835" s="83"/>
      <c r="O835" s="83"/>
      <c r="P835" s="83"/>
      <c r="Q835" s="83"/>
      <c r="R835" s="83"/>
      <c r="S835" s="83"/>
      <c r="T835" s="83"/>
      <c r="U835" s="83"/>
      <c r="V835" s="83"/>
      <c r="W835" s="83"/>
      <c r="X835" s="83"/>
      <c r="Y835" s="83"/>
      <c r="Z835" s="83"/>
    </row>
    <row r="836" ht="14.25" customHeight="1" spans="1:26" x14ac:dyDescent="0.25">
      <c r="A836" s="83"/>
      <c r="B836" s="83"/>
      <c r="C836" s="83"/>
      <c r="D836" s="83"/>
      <c r="E836" s="83"/>
      <c r="F836" s="83"/>
      <c r="G836" s="83"/>
      <c r="H836" s="83"/>
      <c r="I836" s="83"/>
      <c r="J836" s="83"/>
      <c r="K836" s="83"/>
      <c r="L836" s="83"/>
      <c r="M836" s="83"/>
      <c r="N836" s="83"/>
      <c r="O836" s="83"/>
      <c r="P836" s="83"/>
      <c r="Q836" s="83"/>
      <c r="R836" s="83"/>
      <c r="S836" s="83"/>
      <c r="T836" s="83"/>
      <c r="U836" s="83"/>
      <c r="V836" s="83"/>
      <c r="W836" s="83"/>
      <c r="X836" s="83"/>
      <c r="Y836" s="83"/>
      <c r="Z836" s="83"/>
    </row>
    <row r="837" ht="14.25" customHeight="1" spans="1:26" x14ac:dyDescent="0.25">
      <c r="A837" s="83"/>
      <c r="B837" s="83"/>
      <c r="C837" s="83"/>
      <c r="D837" s="83"/>
      <c r="E837" s="83"/>
      <c r="F837" s="83"/>
      <c r="G837" s="83"/>
      <c r="H837" s="83"/>
      <c r="I837" s="83"/>
      <c r="J837" s="83"/>
      <c r="K837" s="83"/>
      <c r="L837" s="83"/>
      <c r="M837" s="83"/>
      <c r="N837" s="83"/>
      <c r="O837" s="83"/>
      <c r="P837" s="83"/>
      <c r="Q837" s="83"/>
      <c r="R837" s="83"/>
      <c r="S837" s="83"/>
      <c r="T837" s="83"/>
      <c r="U837" s="83"/>
      <c r="V837" s="83"/>
      <c r="W837" s="83"/>
      <c r="X837" s="83"/>
      <c r="Y837" s="83"/>
      <c r="Z837" s="83"/>
    </row>
    <row r="838" ht="14.25" customHeight="1" spans="1:26" x14ac:dyDescent="0.25">
      <c r="A838" s="83"/>
      <c r="B838" s="83"/>
      <c r="C838" s="83"/>
      <c r="D838" s="83"/>
      <c r="E838" s="83"/>
      <c r="F838" s="83"/>
      <c r="G838" s="83"/>
      <c r="H838" s="83"/>
      <c r="I838" s="83"/>
      <c r="J838" s="83"/>
      <c r="K838" s="83"/>
      <c r="L838" s="83"/>
      <c r="M838" s="83"/>
      <c r="N838" s="83"/>
      <c r="O838" s="83"/>
      <c r="P838" s="83"/>
      <c r="Q838" s="83"/>
      <c r="R838" s="83"/>
      <c r="S838" s="83"/>
      <c r="T838" s="83"/>
      <c r="U838" s="83"/>
      <c r="V838" s="83"/>
      <c r="W838" s="83"/>
      <c r="X838" s="83"/>
      <c r="Y838" s="83"/>
      <c r="Z838" s="83"/>
    </row>
    <row r="839" ht="14.25" customHeight="1" spans="1:26" x14ac:dyDescent="0.25">
      <c r="A839" s="83"/>
      <c r="B839" s="83"/>
      <c r="C839" s="83"/>
      <c r="D839" s="83"/>
      <c r="E839" s="83"/>
      <c r="F839" s="83"/>
      <c r="G839" s="83"/>
      <c r="H839" s="83"/>
      <c r="I839" s="83"/>
      <c r="J839" s="83"/>
      <c r="K839" s="83"/>
      <c r="L839" s="83"/>
      <c r="M839" s="83"/>
      <c r="N839" s="83"/>
      <c r="O839" s="83"/>
      <c r="P839" s="83"/>
      <c r="Q839" s="83"/>
      <c r="R839" s="83"/>
      <c r="S839" s="83"/>
      <c r="T839" s="83"/>
      <c r="U839" s="83"/>
      <c r="V839" s="83"/>
      <c r="W839" s="83"/>
      <c r="X839" s="83"/>
      <c r="Y839" s="83"/>
      <c r="Z839" s="83"/>
    </row>
    <row r="840" ht="14.25" customHeight="1" spans="1:26" x14ac:dyDescent="0.25">
      <c r="A840" s="83"/>
      <c r="B840" s="83"/>
      <c r="C840" s="83"/>
      <c r="D840" s="83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  <c r="X840" s="83"/>
      <c r="Y840" s="83"/>
      <c r="Z840" s="83"/>
    </row>
    <row r="841" ht="14.25" customHeight="1" spans="1:26" x14ac:dyDescent="0.25">
      <c r="A841" s="83"/>
      <c r="B841" s="83"/>
      <c r="C841" s="83"/>
      <c r="D841" s="83"/>
      <c r="E841" s="83"/>
      <c r="F841" s="83"/>
      <c r="G841" s="83"/>
      <c r="H841" s="83"/>
      <c r="I841" s="83"/>
      <c r="J841" s="83"/>
      <c r="K841" s="83"/>
      <c r="L841" s="83"/>
      <c r="M841" s="83"/>
      <c r="N841" s="83"/>
      <c r="O841" s="83"/>
      <c r="P841" s="83"/>
      <c r="Q841" s="83"/>
      <c r="R841" s="83"/>
      <c r="S841" s="83"/>
      <c r="T841" s="83"/>
      <c r="U841" s="83"/>
      <c r="V841" s="83"/>
      <c r="W841" s="83"/>
      <c r="X841" s="83"/>
      <c r="Y841" s="83"/>
      <c r="Z841" s="83"/>
    </row>
    <row r="842" ht="14.25" customHeight="1" spans="1:26" x14ac:dyDescent="0.25">
      <c r="A842" s="83"/>
      <c r="B842" s="83"/>
      <c r="C842" s="83"/>
      <c r="D842" s="83"/>
      <c r="E842" s="83"/>
      <c r="F842" s="83"/>
      <c r="G842" s="83"/>
      <c r="H842" s="83"/>
      <c r="I842" s="83"/>
      <c r="J842" s="83"/>
      <c r="K842" s="83"/>
      <c r="L842" s="83"/>
      <c r="M842" s="83"/>
      <c r="N842" s="83"/>
      <c r="O842" s="83"/>
      <c r="P842" s="83"/>
      <c r="Q842" s="83"/>
      <c r="R842" s="83"/>
      <c r="S842" s="83"/>
      <c r="T842" s="83"/>
      <c r="U842" s="83"/>
      <c r="V842" s="83"/>
      <c r="W842" s="83"/>
      <c r="X842" s="83"/>
      <c r="Y842" s="83"/>
      <c r="Z842" s="83"/>
    </row>
    <row r="843" ht="14.25" customHeight="1" spans="1:26" x14ac:dyDescent="0.25">
      <c r="A843" s="83"/>
      <c r="B843" s="83"/>
      <c r="C843" s="83"/>
      <c r="D843" s="83"/>
      <c r="E843" s="83"/>
      <c r="F843" s="83"/>
      <c r="G843" s="83"/>
      <c r="H843" s="83"/>
      <c r="I843" s="83"/>
      <c r="J843" s="83"/>
      <c r="K843" s="83"/>
      <c r="L843" s="83"/>
      <c r="M843" s="83"/>
      <c r="N843" s="83"/>
      <c r="O843" s="83"/>
      <c r="P843" s="83"/>
      <c r="Q843" s="83"/>
      <c r="R843" s="83"/>
      <c r="S843" s="83"/>
      <c r="T843" s="83"/>
      <c r="U843" s="83"/>
      <c r="V843" s="83"/>
      <c r="W843" s="83"/>
      <c r="X843" s="83"/>
      <c r="Y843" s="83"/>
      <c r="Z843" s="83"/>
    </row>
    <row r="844" ht="14.25" customHeight="1" spans="1:26" x14ac:dyDescent="0.25">
      <c r="A844" s="83"/>
      <c r="B844" s="83"/>
      <c r="C844" s="83"/>
      <c r="D844" s="83"/>
      <c r="E844" s="83"/>
      <c r="F844" s="83"/>
      <c r="G844" s="83"/>
      <c r="H844" s="83"/>
      <c r="I844" s="83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83"/>
      <c r="U844" s="83"/>
      <c r="V844" s="83"/>
      <c r="W844" s="83"/>
      <c r="X844" s="83"/>
      <c r="Y844" s="83"/>
      <c r="Z844" s="83"/>
    </row>
    <row r="845" ht="14.25" customHeight="1" spans="1:26" x14ac:dyDescent="0.25">
      <c r="A845" s="83"/>
      <c r="B845" s="83"/>
      <c r="C845" s="83"/>
      <c r="D845" s="83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83"/>
      <c r="U845" s="83"/>
      <c r="V845" s="83"/>
      <c r="W845" s="83"/>
      <c r="X845" s="83"/>
      <c r="Y845" s="83"/>
      <c r="Z845" s="83"/>
    </row>
    <row r="846" ht="14.25" customHeight="1" spans="1:26" x14ac:dyDescent="0.25">
      <c r="A846" s="83"/>
      <c r="B846" s="83"/>
      <c r="C846" s="83"/>
      <c r="D846" s="83"/>
      <c r="E846" s="83"/>
      <c r="F846" s="83"/>
      <c r="G846" s="83"/>
      <c r="H846" s="83"/>
      <c r="I846" s="83"/>
      <c r="J846" s="83"/>
      <c r="K846" s="83"/>
      <c r="L846" s="83"/>
      <c r="M846" s="83"/>
      <c r="N846" s="83"/>
      <c r="O846" s="83"/>
      <c r="P846" s="83"/>
      <c r="Q846" s="83"/>
      <c r="R846" s="83"/>
      <c r="S846" s="83"/>
      <c r="T846" s="83"/>
      <c r="U846" s="83"/>
      <c r="V846" s="83"/>
      <c r="W846" s="83"/>
      <c r="X846" s="83"/>
      <c r="Y846" s="83"/>
      <c r="Z846" s="83"/>
    </row>
    <row r="847" ht="14.25" customHeight="1" spans="1:26" x14ac:dyDescent="0.25">
      <c r="A847" s="83"/>
      <c r="B847" s="83"/>
      <c r="C847" s="83"/>
      <c r="D847" s="83"/>
      <c r="E847" s="83"/>
      <c r="F847" s="83"/>
      <c r="G847" s="83"/>
      <c r="H847" s="83"/>
      <c r="I847" s="83"/>
      <c r="J847" s="83"/>
      <c r="K847" s="83"/>
      <c r="L847" s="83"/>
      <c r="M847" s="83"/>
      <c r="N847" s="83"/>
      <c r="O847" s="83"/>
      <c r="P847" s="83"/>
      <c r="Q847" s="83"/>
      <c r="R847" s="83"/>
      <c r="S847" s="83"/>
      <c r="T847" s="83"/>
      <c r="U847" s="83"/>
      <c r="V847" s="83"/>
      <c r="W847" s="83"/>
      <c r="X847" s="83"/>
      <c r="Y847" s="83"/>
      <c r="Z847" s="83"/>
    </row>
    <row r="848" ht="14.25" customHeight="1" spans="1:26" x14ac:dyDescent="0.25">
      <c r="A848" s="83"/>
      <c r="B848" s="83"/>
      <c r="C848" s="83"/>
      <c r="D848" s="83"/>
      <c r="E848" s="83"/>
      <c r="F848" s="83"/>
      <c r="G848" s="83"/>
      <c r="H848" s="83"/>
      <c r="I848" s="83"/>
      <c r="J848" s="83"/>
      <c r="K848" s="83"/>
      <c r="L848" s="83"/>
      <c r="M848" s="83"/>
      <c r="N848" s="83"/>
      <c r="O848" s="83"/>
      <c r="P848" s="83"/>
      <c r="Q848" s="83"/>
      <c r="R848" s="83"/>
      <c r="S848" s="83"/>
      <c r="T848" s="83"/>
      <c r="U848" s="83"/>
      <c r="V848" s="83"/>
      <c r="W848" s="83"/>
      <c r="X848" s="83"/>
      <c r="Y848" s="83"/>
      <c r="Z848" s="83"/>
    </row>
    <row r="849" ht="14.25" customHeight="1" spans="1:26" x14ac:dyDescent="0.25">
      <c r="A849" s="83"/>
      <c r="B849" s="83"/>
      <c r="C849" s="83"/>
      <c r="D849" s="83"/>
      <c r="E849" s="83"/>
      <c r="F849" s="83"/>
      <c r="G849" s="83"/>
      <c r="H849" s="83"/>
      <c r="I849" s="83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83"/>
      <c r="U849" s="83"/>
      <c r="V849" s="83"/>
      <c r="W849" s="83"/>
      <c r="X849" s="83"/>
      <c r="Y849" s="83"/>
      <c r="Z849" s="83"/>
    </row>
    <row r="850" ht="14.25" customHeight="1" spans="1:26" x14ac:dyDescent="0.25">
      <c r="A850" s="83"/>
      <c r="B850" s="83"/>
      <c r="C850" s="83"/>
      <c r="D850" s="83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  <c r="X850" s="83"/>
      <c r="Y850" s="83"/>
      <c r="Z850" s="83"/>
    </row>
    <row r="851" ht="14.25" customHeight="1" spans="1:26" x14ac:dyDescent="0.25">
      <c r="A851" s="83"/>
      <c r="B851" s="83"/>
      <c r="C851" s="83"/>
      <c r="D851" s="83"/>
      <c r="E851" s="83"/>
      <c r="F851" s="83"/>
      <c r="G851" s="83"/>
      <c r="H851" s="83"/>
      <c r="I851" s="83"/>
      <c r="J851" s="83"/>
      <c r="K851" s="83"/>
      <c r="L851" s="83"/>
      <c r="M851" s="83"/>
      <c r="N851" s="83"/>
      <c r="O851" s="83"/>
      <c r="P851" s="83"/>
      <c r="Q851" s="83"/>
      <c r="R851" s="83"/>
      <c r="S851" s="83"/>
      <c r="T851" s="83"/>
      <c r="U851" s="83"/>
      <c r="V851" s="83"/>
      <c r="W851" s="83"/>
      <c r="X851" s="83"/>
      <c r="Y851" s="83"/>
      <c r="Z851" s="83"/>
    </row>
    <row r="852" ht="14.25" customHeight="1" spans="1:26" x14ac:dyDescent="0.25">
      <c r="A852" s="83"/>
      <c r="B852" s="83"/>
      <c r="C852" s="83"/>
      <c r="D852" s="83"/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83"/>
      <c r="U852" s="83"/>
      <c r="V852" s="83"/>
      <c r="W852" s="83"/>
      <c r="X852" s="83"/>
      <c r="Y852" s="83"/>
      <c r="Z852" s="83"/>
    </row>
    <row r="853" ht="14.25" customHeight="1" spans="1:26" x14ac:dyDescent="0.25">
      <c r="A853" s="83"/>
      <c r="B853" s="83"/>
      <c r="C853" s="83"/>
      <c r="D853" s="83"/>
      <c r="E853" s="83"/>
      <c r="F853" s="83"/>
      <c r="G853" s="83"/>
      <c r="H853" s="83"/>
      <c r="I853" s="83"/>
      <c r="J853" s="83"/>
      <c r="K853" s="83"/>
      <c r="L853" s="83"/>
      <c r="M853" s="83"/>
      <c r="N853" s="83"/>
      <c r="O853" s="83"/>
      <c r="P853" s="83"/>
      <c r="Q853" s="83"/>
      <c r="R853" s="83"/>
      <c r="S853" s="83"/>
      <c r="T853" s="83"/>
      <c r="U853" s="83"/>
      <c r="V853" s="83"/>
      <c r="W853" s="83"/>
      <c r="X853" s="83"/>
      <c r="Y853" s="83"/>
      <c r="Z853" s="83"/>
    </row>
    <row r="854" ht="14.25" customHeight="1" spans="1:26" x14ac:dyDescent="0.25">
      <c r="A854" s="83"/>
      <c r="B854" s="83"/>
      <c r="C854" s="83"/>
      <c r="D854" s="83"/>
      <c r="E854" s="83"/>
      <c r="F854" s="83"/>
      <c r="G854" s="83"/>
      <c r="H854" s="83"/>
      <c r="I854" s="83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/>
      <c r="V854" s="83"/>
      <c r="W854" s="83"/>
      <c r="X854" s="83"/>
      <c r="Y854" s="83"/>
      <c r="Z854" s="83"/>
    </row>
    <row r="855" ht="14.25" customHeight="1" spans="1:26" x14ac:dyDescent="0.25">
      <c r="A855" s="83"/>
      <c r="B855" s="83"/>
      <c r="C855" s="83"/>
      <c r="D855" s="83"/>
      <c r="E855" s="83"/>
      <c r="F855" s="83"/>
      <c r="G855" s="83"/>
      <c r="H855" s="83"/>
      <c r="I855" s="83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83"/>
      <c r="U855" s="83"/>
      <c r="V855" s="83"/>
      <c r="W855" s="83"/>
      <c r="X855" s="83"/>
      <c r="Y855" s="83"/>
      <c r="Z855" s="83"/>
    </row>
    <row r="856" ht="14.25" customHeight="1" spans="1:26" x14ac:dyDescent="0.25">
      <c r="A856" s="83"/>
      <c r="B856" s="83"/>
      <c r="C856" s="83"/>
      <c r="D856" s="83"/>
      <c r="E856" s="83"/>
      <c r="F856" s="83"/>
      <c r="G856" s="83"/>
      <c r="H856" s="83"/>
      <c r="I856" s="83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83"/>
      <c r="U856" s="83"/>
      <c r="V856" s="83"/>
      <c r="W856" s="83"/>
      <c r="X856" s="83"/>
      <c r="Y856" s="83"/>
      <c r="Z856" s="83"/>
    </row>
    <row r="857" ht="14.25" customHeight="1" spans="1:26" x14ac:dyDescent="0.25">
      <c r="A857" s="83"/>
      <c r="B857" s="83"/>
      <c r="C857" s="83"/>
      <c r="D857" s="83"/>
      <c r="E857" s="83"/>
      <c r="F857" s="83"/>
      <c r="G857" s="83"/>
      <c r="H857" s="83"/>
      <c r="I857" s="83"/>
      <c r="J857" s="83"/>
      <c r="K857" s="83"/>
      <c r="L857" s="83"/>
      <c r="M857" s="83"/>
      <c r="N857" s="83"/>
      <c r="O857" s="83"/>
      <c r="P857" s="83"/>
      <c r="Q857" s="83"/>
      <c r="R857" s="83"/>
      <c r="S857" s="83"/>
      <c r="T857" s="83"/>
      <c r="U857" s="83"/>
      <c r="V857" s="83"/>
      <c r="W857" s="83"/>
      <c r="X857" s="83"/>
      <c r="Y857" s="83"/>
      <c r="Z857" s="83"/>
    </row>
    <row r="858" ht="14.25" customHeight="1" spans="1:26" x14ac:dyDescent="0.25">
      <c r="A858" s="83"/>
      <c r="B858" s="83"/>
      <c r="C858" s="83"/>
      <c r="D858" s="83"/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83"/>
      <c r="U858" s="83"/>
      <c r="V858" s="83"/>
      <c r="W858" s="83"/>
      <c r="X858" s="83"/>
      <c r="Y858" s="83"/>
      <c r="Z858" s="83"/>
    </row>
    <row r="859" ht="14.25" customHeight="1" spans="1:26" x14ac:dyDescent="0.25">
      <c r="A859" s="83"/>
      <c r="B859" s="83"/>
      <c r="C859" s="83"/>
      <c r="D859" s="83"/>
      <c r="E859" s="83"/>
      <c r="F859" s="83"/>
      <c r="G859" s="83"/>
      <c r="H859" s="83"/>
      <c r="I859" s="83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  <c r="X859" s="83"/>
      <c r="Y859" s="83"/>
      <c r="Z859" s="83"/>
    </row>
    <row r="860" ht="14.25" customHeight="1" spans="1:26" x14ac:dyDescent="0.25">
      <c r="A860" s="83"/>
      <c r="B860" s="83"/>
      <c r="C860" s="83"/>
      <c r="D860" s="83"/>
      <c r="E860" s="83"/>
      <c r="F860" s="83"/>
      <c r="G860" s="83"/>
      <c r="H860" s="83"/>
      <c r="I860" s="83"/>
      <c r="J860" s="83"/>
      <c r="K860" s="83"/>
      <c r="L860" s="83"/>
      <c r="M860" s="83"/>
      <c r="N860" s="83"/>
      <c r="O860" s="83"/>
      <c r="P860" s="83"/>
      <c r="Q860" s="83"/>
      <c r="R860" s="83"/>
      <c r="S860" s="83"/>
      <c r="T860" s="83"/>
      <c r="U860" s="83"/>
      <c r="V860" s="83"/>
      <c r="W860" s="83"/>
      <c r="X860" s="83"/>
      <c r="Y860" s="83"/>
      <c r="Z860" s="83"/>
    </row>
    <row r="861" ht="14.25" customHeight="1" spans="1:26" x14ac:dyDescent="0.25">
      <c r="A861" s="83"/>
      <c r="B861" s="83"/>
      <c r="C861" s="83"/>
      <c r="D861" s="83"/>
      <c r="E861" s="83"/>
      <c r="F861" s="83"/>
      <c r="G861" s="83"/>
      <c r="H861" s="83"/>
      <c r="I861" s="83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83"/>
      <c r="U861" s="83"/>
      <c r="V861" s="83"/>
      <c r="W861" s="83"/>
      <c r="X861" s="83"/>
      <c r="Y861" s="83"/>
      <c r="Z861" s="83"/>
    </row>
    <row r="862" ht="14.25" customHeight="1" spans="1:26" x14ac:dyDescent="0.25">
      <c r="A862" s="83"/>
      <c r="B862" s="83"/>
      <c r="C862" s="83"/>
      <c r="D862" s="83"/>
      <c r="E862" s="83"/>
      <c r="F862" s="83"/>
      <c r="G862" s="83"/>
      <c r="H862" s="83"/>
      <c r="I862" s="83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83"/>
      <c r="U862" s="83"/>
      <c r="V862" s="83"/>
      <c r="W862" s="83"/>
      <c r="X862" s="83"/>
      <c r="Y862" s="83"/>
      <c r="Z862" s="83"/>
    </row>
    <row r="863" ht="14.25" customHeight="1" spans="1:26" x14ac:dyDescent="0.25">
      <c r="A863" s="83"/>
      <c r="B863" s="83"/>
      <c r="C863" s="83"/>
      <c r="D863" s="83"/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/>
      <c r="V863" s="83"/>
      <c r="W863" s="83"/>
      <c r="X863" s="83"/>
      <c r="Y863" s="83"/>
      <c r="Z863" s="83"/>
    </row>
    <row r="864" ht="14.25" customHeight="1" spans="1:26" x14ac:dyDescent="0.25">
      <c r="A864" s="83"/>
      <c r="B864" s="83"/>
      <c r="C864" s="83"/>
      <c r="D864" s="83"/>
      <c r="E864" s="83"/>
      <c r="F864" s="83"/>
      <c r="G864" s="83"/>
      <c r="H864" s="83"/>
      <c r="I864" s="83"/>
      <c r="J864" s="83"/>
      <c r="K864" s="83"/>
      <c r="L864" s="83"/>
      <c r="M864" s="83"/>
      <c r="N864" s="83"/>
      <c r="O864" s="83"/>
      <c r="P864" s="83"/>
      <c r="Q864" s="83"/>
      <c r="R864" s="83"/>
      <c r="S864" s="83"/>
      <c r="T864" s="83"/>
      <c r="U864" s="83"/>
      <c r="V864" s="83"/>
      <c r="W864" s="83"/>
      <c r="X864" s="83"/>
      <c r="Y864" s="83"/>
      <c r="Z864" s="83"/>
    </row>
    <row r="865" ht="14.25" customHeight="1" spans="1:26" x14ac:dyDescent="0.25">
      <c r="A865" s="83"/>
      <c r="B865" s="83"/>
      <c r="C865" s="83"/>
      <c r="D865" s="83"/>
      <c r="E865" s="83"/>
      <c r="F865" s="83"/>
      <c r="G865" s="83"/>
      <c r="H865" s="83"/>
      <c r="I865" s="83"/>
      <c r="J865" s="83"/>
      <c r="K865" s="83"/>
      <c r="L865" s="83"/>
      <c r="M865" s="83"/>
      <c r="N865" s="83"/>
      <c r="O865" s="83"/>
      <c r="P865" s="83"/>
      <c r="Q865" s="83"/>
      <c r="R865" s="83"/>
      <c r="S865" s="83"/>
      <c r="T865" s="83"/>
      <c r="U865" s="83"/>
      <c r="V865" s="83"/>
      <c r="W865" s="83"/>
      <c r="X865" s="83"/>
      <c r="Y865" s="83"/>
      <c r="Z865" s="83"/>
    </row>
    <row r="866" ht="14.25" customHeight="1" spans="1:26" x14ac:dyDescent="0.25">
      <c r="A866" s="83"/>
      <c r="B866" s="83"/>
      <c r="C866" s="83"/>
      <c r="D866" s="83"/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83"/>
      <c r="U866" s="83"/>
      <c r="V866" s="83"/>
      <c r="W866" s="83"/>
      <c r="X866" s="83"/>
      <c r="Y866" s="83"/>
      <c r="Z866" s="83"/>
    </row>
    <row r="867" ht="14.25" customHeight="1" spans="1:26" x14ac:dyDescent="0.25">
      <c r="A867" s="83"/>
      <c r="B867" s="83"/>
      <c r="C867" s="83"/>
      <c r="D867" s="83"/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/>
      <c r="V867" s="83"/>
      <c r="W867" s="83"/>
      <c r="X867" s="83"/>
      <c r="Y867" s="83"/>
      <c r="Z867" s="83"/>
    </row>
    <row r="868" ht="14.25" customHeight="1" spans="1:26" x14ac:dyDescent="0.25">
      <c r="A868" s="83"/>
      <c r="B868" s="83"/>
      <c r="C868" s="83"/>
      <c r="D868" s="83"/>
      <c r="E868" s="83"/>
      <c r="F868" s="83"/>
      <c r="G868" s="83"/>
      <c r="H868" s="83"/>
      <c r="I868" s="83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83"/>
      <c r="U868" s="83"/>
      <c r="V868" s="83"/>
      <c r="W868" s="83"/>
      <c r="X868" s="83"/>
      <c r="Y868" s="83"/>
      <c r="Z868" s="83"/>
    </row>
    <row r="869" ht="14.25" customHeight="1" spans="1:26" x14ac:dyDescent="0.25">
      <c r="A869" s="83"/>
      <c r="B869" s="83"/>
      <c r="C869" s="83"/>
      <c r="D869" s="83"/>
      <c r="E869" s="83"/>
      <c r="F869" s="83"/>
      <c r="G869" s="83"/>
      <c r="H869" s="83"/>
      <c r="I869" s="83"/>
      <c r="J869" s="83"/>
      <c r="K869" s="83"/>
      <c r="L869" s="83"/>
      <c r="M869" s="83"/>
      <c r="N869" s="83"/>
      <c r="O869" s="83"/>
      <c r="P869" s="83"/>
      <c r="Q869" s="83"/>
      <c r="R869" s="83"/>
      <c r="S869" s="83"/>
      <c r="T869" s="83"/>
      <c r="U869" s="83"/>
      <c r="V869" s="83"/>
      <c r="W869" s="83"/>
      <c r="X869" s="83"/>
      <c r="Y869" s="83"/>
      <c r="Z869" s="83"/>
    </row>
    <row r="870" ht="14.25" customHeight="1" spans="1:26" x14ac:dyDescent="0.25">
      <c r="A870" s="83"/>
      <c r="B870" s="83"/>
      <c r="C870" s="83"/>
      <c r="D870" s="83"/>
      <c r="E870" s="83"/>
      <c r="F870" s="83"/>
      <c r="G870" s="83"/>
      <c r="H870" s="83"/>
      <c r="I870" s="83"/>
      <c r="J870" s="83"/>
      <c r="K870" s="83"/>
      <c r="L870" s="83"/>
      <c r="M870" s="83"/>
      <c r="N870" s="83"/>
      <c r="O870" s="83"/>
      <c r="P870" s="83"/>
      <c r="Q870" s="83"/>
      <c r="R870" s="83"/>
      <c r="S870" s="83"/>
      <c r="T870" s="83"/>
      <c r="U870" s="83"/>
      <c r="V870" s="83"/>
      <c r="W870" s="83"/>
      <c r="X870" s="83"/>
      <c r="Y870" s="83"/>
      <c r="Z870" s="83"/>
    </row>
    <row r="871" ht="14.25" customHeight="1" spans="1:26" x14ac:dyDescent="0.25">
      <c r="A871" s="83"/>
      <c r="B871" s="83"/>
      <c r="C871" s="83"/>
      <c r="D871" s="83"/>
      <c r="E871" s="83"/>
      <c r="F871" s="83"/>
      <c r="G871" s="83"/>
      <c r="H871" s="83"/>
      <c r="I871" s="83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83"/>
      <c r="U871" s="83"/>
      <c r="V871" s="83"/>
      <c r="W871" s="83"/>
      <c r="X871" s="83"/>
      <c r="Y871" s="83"/>
      <c r="Z871" s="83"/>
    </row>
    <row r="872" ht="14.25" customHeight="1" spans="1:26" x14ac:dyDescent="0.25">
      <c r="A872" s="83"/>
      <c r="B872" s="83"/>
      <c r="C872" s="83"/>
      <c r="D872" s="83"/>
      <c r="E872" s="83"/>
      <c r="F872" s="83"/>
      <c r="G872" s="83"/>
      <c r="H872" s="83"/>
      <c r="I872" s="83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83"/>
      <c r="U872" s="83"/>
      <c r="V872" s="83"/>
      <c r="W872" s="83"/>
      <c r="X872" s="83"/>
      <c r="Y872" s="83"/>
      <c r="Z872" s="83"/>
    </row>
    <row r="873" ht="14.25" customHeight="1" spans="1:26" x14ac:dyDescent="0.25">
      <c r="A873" s="83"/>
      <c r="B873" s="83"/>
      <c r="C873" s="83"/>
      <c r="D873" s="83"/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83"/>
      <c r="U873" s="83"/>
      <c r="V873" s="83"/>
      <c r="W873" s="83"/>
      <c r="X873" s="83"/>
      <c r="Y873" s="83"/>
      <c r="Z873" s="83"/>
    </row>
    <row r="874" ht="14.25" customHeight="1" spans="1:26" x14ac:dyDescent="0.25">
      <c r="A874" s="83"/>
      <c r="B874" s="83"/>
      <c r="C874" s="83"/>
      <c r="D874" s="83"/>
      <c r="E874" s="83"/>
      <c r="F874" s="83"/>
      <c r="G874" s="83"/>
      <c r="H874" s="83"/>
      <c r="I874" s="83"/>
      <c r="J874" s="83"/>
      <c r="K874" s="83"/>
      <c r="L874" s="83"/>
      <c r="M874" s="83"/>
      <c r="N874" s="83"/>
      <c r="O874" s="83"/>
      <c r="P874" s="83"/>
      <c r="Q874" s="83"/>
      <c r="R874" s="83"/>
      <c r="S874" s="83"/>
      <c r="T874" s="83"/>
      <c r="U874" s="83"/>
      <c r="V874" s="83"/>
      <c r="W874" s="83"/>
      <c r="X874" s="83"/>
      <c r="Y874" s="83"/>
      <c r="Z874" s="83"/>
    </row>
    <row r="875" ht="14.25" customHeight="1" spans="1:26" x14ac:dyDescent="0.25">
      <c r="A875" s="83"/>
      <c r="B875" s="83"/>
      <c r="C875" s="83"/>
      <c r="D875" s="83"/>
      <c r="E875" s="83"/>
      <c r="F875" s="83"/>
      <c r="G875" s="83"/>
      <c r="H875" s="83"/>
      <c r="I875" s="83"/>
      <c r="J875" s="83"/>
      <c r="K875" s="83"/>
      <c r="L875" s="83"/>
      <c r="M875" s="83"/>
      <c r="N875" s="83"/>
      <c r="O875" s="83"/>
      <c r="P875" s="83"/>
      <c r="Q875" s="83"/>
      <c r="R875" s="83"/>
      <c r="S875" s="83"/>
      <c r="T875" s="83"/>
      <c r="U875" s="83"/>
      <c r="V875" s="83"/>
      <c r="W875" s="83"/>
      <c r="X875" s="83"/>
      <c r="Y875" s="83"/>
      <c r="Z875" s="83"/>
    </row>
    <row r="876" ht="14.25" customHeight="1" spans="1:26" x14ac:dyDescent="0.25">
      <c r="A876" s="83"/>
      <c r="B876" s="83"/>
      <c r="C876" s="83"/>
      <c r="D876" s="83"/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  <c r="X876" s="83"/>
      <c r="Y876" s="83"/>
      <c r="Z876" s="83"/>
    </row>
    <row r="877" ht="14.25" customHeight="1" spans="1:26" x14ac:dyDescent="0.25">
      <c r="A877" s="83"/>
      <c r="B877" s="83"/>
      <c r="C877" s="83"/>
      <c r="D877" s="83"/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/>
      <c r="V877" s="83"/>
      <c r="W877" s="83"/>
      <c r="X877" s="83"/>
      <c r="Y877" s="83"/>
      <c r="Z877" s="83"/>
    </row>
    <row r="878" ht="14.25" customHeight="1" spans="1:26" x14ac:dyDescent="0.25">
      <c r="A878" s="83"/>
      <c r="B878" s="83"/>
      <c r="C878" s="83"/>
      <c r="D878" s="83"/>
      <c r="E878" s="83"/>
      <c r="F878" s="83"/>
      <c r="G878" s="83"/>
      <c r="H878" s="83"/>
      <c r="I878" s="83"/>
      <c r="J878" s="83"/>
      <c r="K878" s="83"/>
      <c r="L878" s="83"/>
      <c r="M878" s="83"/>
      <c r="N878" s="83"/>
      <c r="O878" s="83"/>
      <c r="P878" s="83"/>
      <c r="Q878" s="83"/>
      <c r="R878" s="83"/>
      <c r="S878" s="83"/>
      <c r="T878" s="83"/>
      <c r="U878" s="83"/>
      <c r="V878" s="83"/>
      <c r="W878" s="83"/>
      <c r="X878" s="83"/>
      <c r="Y878" s="83"/>
      <c r="Z878" s="83"/>
    </row>
    <row r="879" ht="14.25" customHeight="1" spans="1:26" x14ac:dyDescent="0.25">
      <c r="A879" s="83"/>
      <c r="B879" s="83"/>
      <c r="C879" s="83"/>
      <c r="D879" s="83"/>
      <c r="E879" s="83"/>
      <c r="F879" s="83"/>
      <c r="G879" s="83"/>
      <c r="H879" s="83"/>
      <c r="I879" s="83"/>
      <c r="J879" s="83"/>
      <c r="K879" s="83"/>
      <c r="L879" s="83"/>
      <c r="M879" s="83"/>
      <c r="N879" s="83"/>
      <c r="O879" s="83"/>
      <c r="P879" s="83"/>
      <c r="Q879" s="83"/>
      <c r="R879" s="83"/>
      <c r="S879" s="83"/>
      <c r="T879" s="83"/>
      <c r="U879" s="83"/>
      <c r="V879" s="83"/>
      <c r="W879" s="83"/>
      <c r="X879" s="83"/>
      <c r="Y879" s="83"/>
      <c r="Z879" s="83"/>
    </row>
    <row r="880" ht="14.25" customHeight="1" spans="1:26" x14ac:dyDescent="0.25">
      <c r="A880" s="83"/>
      <c r="B880" s="83"/>
      <c r="C880" s="83"/>
      <c r="D880" s="83"/>
      <c r="E880" s="83"/>
      <c r="F880" s="83"/>
      <c r="G880" s="83"/>
      <c r="H880" s="83"/>
      <c r="I880" s="83"/>
      <c r="J880" s="83"/>
      <c r="K880" s="83"/>
      <c r="L880" s="83"/>
      <c r="M880" s="83"/>
      <c r="N880" s="83"/>
      <c r="O880" s="83"/>
      <c r="P880" s="83"/>
      <c r="Q880" s="83"/>
      <c r="R880" s="83"/>
      <c r="S880" s="83"/>
      <c r="T880" s="83"/>
      <c r="U880" s="83"/>
      <c r="V880" s="83"/>
      <c r="W880" s="83"/>
      <c r="X880" s="83"/>
      <c r="Y880" s="83"/>
      <c r="Z880" s="83"/>
    </row>
    <row r="881" ht="14.25" customHeight="1" spans="1:26" x14ac:dyDescent="0.25">
      <c r="A881" s="83"/>
      <c r="B881" s="83"/>
      <c r="C881" s="83"/>
      <c r="D881" s="83"/>
      <c r="E881" s="83"/>
      <c r="F881" s="83"/>
      <c r="G881" s="83"/>
      <c r="H881" s="83"/>
      <c r="I881" s="83"/>
      <c r="J881" s="83"/>
      <c r="K881" s="83"/>
      <c r="L881" s="83"/>
      <c r="M881" s="83"/>
      <c r="N881" s="83"/>
      <c r="O881" s="83"/>
      <c r="P881" s="83"/>
      <c r="Q881" s="83"/>
      <c r="R881" s="83"/>
      <c r="S881" s="83"/>
      <c r="T881" s="83"/>
      <c r="U881" s="83"/>
      <c r="V881" s="83"/>
      <c r="W881" s="83"/>
      <c r="X881" s="83"/>
      <c r="Y881" s="83"/>
      <c r="Z881" s="83"/>
    </row>
    <row r="882" ht="14.25" customHeight="1" spans="1:26" x14ac:dyDescent="0.25">
      <c r="A882" s="83"/>
      <c r="B882" s="83"/>
      <c r="C882" s="83"/>
      <c r="D882" s="83"/>
      <c r="E882" s="83"/>
      <c r="F882" s="83"/>
      <c r="G882" s="83"/>
      <c r="H882" s="83"/>
      <c r="I882" s="83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83"/>
      <c r="U882" s="83"/>
      <c r="V882" s="83"/>
      <c r="W882" s="83"/>
      <c r="X882" s="83"/>
      <c r="Y882" s="83"/>
      <c r="Z882" s="83"/>
    </row>
    <row r="883" ht="14.25" customHeight="1" spans="1:26" x14ac:dyDescent="0.25">
      <c r="A883" s="83"/>
      <c r="B883" s="83"/>
      <c r="C883" s="83"/>
      <c r="D883" s="83"/>
      <c r="E883" s="83"/>
      <c r="F883" s="83"/>
      <c r="G883" s="83"/>
      <c r="H883" s="83"/>
      <c r="I883" s="83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83"/>
      <c r="U883" s="83"/>
      <c r="V883" s="83"/>
      <c r="W883" s="83"/>
      <c r="X883" s="83"/>
      <c r="Y883" s="83"/>
      <c r="Z883" s="83"/>
    </row>
    <row r="884" ht="14.25" customHeight="1" spans="1:26" x14ac:dyDescent="0.25">
      <c r="A884" s="83"/>
      <c r="B884" s="83"/>
      <c r="C884" s="83"/>
      <c r="D884" s="83"/>
      <c r="E884" s="83"/>
      <c r="F884" s="83"/>
      <c r="G884" s="83"/>
      <c r="H884" s="83"/>
      <c r="I884" s="83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83"/>
      <c r="U884" s="83"/>
      <c r="V884" s="83"/>
      <c r="W884" s="83"/>
      <c r="X884" s="83"/>
      <c r="Y884" s="83"/>
      <c r="Z884" s="83"/>
    </row>
    <row r="885" ht="14.25" customHeight="1" spans="1:26" x14ac:dyDescent="0.25">
      <c r="A885" s="83"/>
      <c r="B885" s="83"/>
      <c r="C885" s="83"/>
      <c r="D885" s="83"/>
      <c r="E885" s="83"/>
      <c r="F885" s="83"/>
      <c r="G885" s="83"/>
      <c r="H885" s="83"/>
      <c r="I885" s="83"/>
      <c r="J885" s="83"/>
      <c r="K885" s="83"/>
      <c r="L885" s="83"/>
      <c r="M885" s="83"/>
      <c r="N885" s="83"/>
      <c r="O885" s="83"/>
      <c r="P885" s="83"/>
      <c r="Q885" s="83"/>
      <c r="R885" s="83"/>
      <c r="S885" s="83"/>
      <c r="T885" s="83"/>
      <c r="U885" s="83"/>
      <c r="V885" s="83"/>
      <c r="W885" s="83"/>
      <c r="X885" s="83"/>
      <c r="Y885" s="83"/>
      <c r="Z885" s="83"/>
    </row>
    <row r="886" ht="14.25" customHeight="1" spans="1:26" x14ac:dyDescent="0.25">
      <c r="A886" s="83"/>
      <c r="B886" s="83"/>
      <c r="C886" s="83"/>
      <c r="D886" s="83"/>
      <c r="E886" s="83"/>
      <c r="F886" s="83"/>
      <c r="G886" s="83"/>
      <c r="H886" s="83"/>
      <c r="I886" s="83"/>
      <c r="J886" s="83"/>
      <c r="K886" s="83"/>
      <c r="L886" s="83"/>
      <c r="M886" s="83"/>
      <c r="N886" s="83"/>
      <c r="O886" s="83"/>
      <c r="P886" s="83"/>
      <c r="Q886" s="83"/>
      <c r="R886" s="83"/>
      <c r="S886" s="83"/>
      <c r="T886" s="83"/>
      <c r="U886" s="83"/>
      <c r="V886" s="83"/>
      <c r="W886" s="83"/>
      <c r="X886" s="83"/>
      <c r="Y886" s="83"/>
      <c r="Z886" s="83"/>
    </row>
    <row r="887" ht="14.25" customHeight="1" spans="1:26" x14ac:dyDescent="0.25">
      <c r="A887" s="83"/>
      <c r="B887" s="83"/>
      <c r="C887" s="83"/>
      <c r="D887" s="83"/>
      <c r="E887" s="83"/>
      <c r="F887" s="83"/>
      <c r="G887" s="83"/>
      <c r="H887" s="83"/>
      <c r="I887" s="83"/>
      <c r="J887" s="83"/>
      <c r="K887" s="83"/>
      <c r="L887" s="83"/>
      <c r="M887" s="83"/>
      <c r="N887" s="83"/>
      <c r="O887" s="83"/>
      <c r="P887" s="83"/>
      <c r="Q887" s="83"/>
      <c r="R887" s="83"/>
      <c r="S887" s="83"/>
      <c r="T887" s="83"/>
      <c r="U887" s="83"/>
      <c r="V887" s="83"/>
      <c r="W887" s="83"/>
      <c r="X887" s="83"/>
      <c r="Y887" s="83"/>
      <c r="Z887" s="83"/>
    </row>
    <row r="888" ht="14.25" customHeight="1" spans="1:26" x14ac:dyDescent="0.25">
      <c r="A888" s="83"/>
      <c r="B888" s="83"/>
      <c r="C888" s="83"/>
      <c r="D888" s="83"/>
      <c r="E888" s="83"/>
      <c r="F888" s="83"/>
      <c r="G888" s="83"/>
      <c r="H888" s="83"/>
      <c r="I888" s="83"/>
      <c r="J888" s="83"/>
      <c r="K888" s="83"/>
      <c r="L888" s="83"/>
      <c r="M888" s="83"/>
      <c r="N888" s="83"/>
      <c r="O888" s="83"/>
      <c r="P888" s="83"/>
      <c r="Q888" s="83"/>
      <c r="R888" s="83"/>
      <c r="S888" s="83"/>
      <c r="T888" s="83"/>
      <c r="U888" s="83"/>
      <c r="V888" s="83"/>
      <c r="W888" s="83"/>
      <c r="X888" s="83"/>
      <c r="Y888" s="83"/>
      <c r="Z888" s="83"/>
    </row>
    <row r="889" ht="14.25" customHeight="1" spans="1:26" x14ac:dyDescent="0.25">
      <c r="A889" s="83"/>
      <c r="B889" s="83"/>
      <c r="C889" s="83"/>
      <c r="D889" s="83"/>
      <c r="E889" s="83"/>
      <c r="F889" s="83"/>
      <c r="G889" s="83"/>
      <c r="H889" s="83"/>
      <c r="I889" s="83"/>
      <c r="J889" s="83"/>
      <c r="K889" s="83"/>
      <c r="L889" s="83"/>
      <c r="M889" s="83"/>
      <c r="N889" s="83"/>
      <c r="O889" s="83"/>
      <c r="P889" s="83"/>
      <c r="Q889" s="83"/>
      <c r="R889" s="83"/>
      <c r="S889" s="83"/>
      <c r="T889" s="83"/>
      <c r="U889" s="83"/>
      <c r="V889" s="83"/>
      <c r="W889" s="83"/>
      <c r="X889" s="83"/>
      <c r="Y889" s="83"/>
      <c r="Z889" s="83"/>
    </row>
    <row r="890" ht="14.25" customHeight="1" spans="1:26" x14ac:dyDescent="0.25">
      <c r="A890" s="83"/>
      <c r="B890" s="83"/>
      <c r="C890" s="83"/>
      <c r="D890" s="83"/>
      <c r="E890" s="83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T890" s="83"/>
      <c r="U890" s="83"/>
      <c r="V890" s="83"/>
      <c r="W890" s="83"/>
      <c r="X890" s="83"/>
      <c r="Y890" s="83"/>
      <c r="Z890" s="83"/>
    </row>
    <row r="891" ht="14.25" customHeight="1" spans="1:26" x14ac:dyDescent="0.25">
      <c r="A891" s="83"/>
      <c r="B891" s="83"/>
      <c r="C891" s="83"/>
      <c r="D891" s="83"/>
      <c r="E891" s="83"/>
      <c r="F891" s="83"/>
      <c r="G891" s="83"/>
      <c r="H891" s="83"/>
      <c r="I891" s="83"/>
      <c r="J891" s="83"/>
      <c r="K891" s="83"/>
      <c r="L891" s="83"/>
      <c r="M891" s="83"/>
      <c r="N891" s="83"/>
      <c r="O891" s="83"/>
      <c r="P891" s="83"/>
      <c r="Q891" s="83"/>
      <c r="R891" s="83"/>
      <c r="S891" s="83"/>
      <c r="T891" s="83"/>
      <c r="U891" s="83"/>
      <c r="V891" s="83"/>
      <c r="W891" s="83"/>
      <c r="X891" s="83"/>
      <c r="Y891" s="83"/>
      <c r="Z891" s="83"/>
    </row>
    <row r="892" ht="14.25" customHeight="1" spans="1:26" x14ac:dyDescent="0.25">
      <c r="A892" s="83"/>
      <c r="B892" s="83"/>
      <c r="C892" s="83"/>
      <c r="D892" s="83"/>
      <c r="E892" s="83"/>
      <c r="F892" s="83"/>
      <c r="G892" s="83"/>
      <c r="H892" s="83"/>
      <c r="I892" s="83"/>
      <c r="J892" s="83"/>
      <c r="K892" s="83"/>
      <c r="L892" s="83"/>
      <c r="M892" s="83"/>
      <c r="N892" s="83"/>
      <c r="O892" s="83"/>
      <c r="P892" s="83"/>
      <c r="Q892" s="83"/>
      <c r="R892" s="83"/>
      <c r="S892" s="83"/>
      <c r="T892" s="83"/>
      <c r="U892" s="83"/>
      <c r="V892" s="83"/>
      <c r="W892" s="83"/>
      <c r="X892" s="83"/>
      <c r="Y892" s="83"/>
      <c r="Z892" s="83"/>
    </row>
    <row r="893" ht="14.25" customHeight="1" spans="1:26" x14ac:dyDescent="0.25">
      <c r="A893" s="83"/>
      <c r="B893" s="83"/>
      <c r="C893" s="83"/>
      <c r="D893" s="83"/>
      <c r="E893" s="83"/>
      <c r="F893" s="83"/>
      <c r="G893" s="83"/>
      <c r="H893" s="83"/>
      <c r="I893" s="83"/>
      <c r="J893" s="83"/>
      <c r="K893" s="83"/>
      <c r="L893" s="83"/>
      <c r="M893" s="83"/>
      <c r="N893" s="83"/>
      <c r="O893" s="83"/>
      <c r="P893" s="83"/>
      <c r="Q893" s="83"/>
      <c r="R893" s="83"/>
      <c r="S893" s="83"/>
      <c r="T893" s="83"/>
      <c r="U893" s="83"/>
      <c r="V893" s="83"/>
      <c r="W893" s="83"/>
      <c r="X893" s="83"/>
      <c r="Y893" s="83"/>
      <c r="Z893" s="83"/>
    </row>
    <row r="894" ht="14.25" customHeight="1" spans="1:26" x14ac:dyDescent="0.25">
      <c r="A894" s="83"/>
      <c r="B894" s="83"/>
      <c r="C894" s="83"/>
      <c r="D894" s="83"/>
      <c r="E894" s="83"/>
      <c r="F894" s="83"/>
      <c r="G894" s="83"/>
      <c r="H894" s="83"/>
      <c r="I894" s="83"/>
      <c r="J894" s="83"/>
      <c r="K894" s="83"/>
      <c r="L894" s="83"/>
      <c r="M894" s="83"/>
      <c r="N894" s="83"/>
      <c r="O894" s="83"/>
      <c r="P894" s="83"/>
      <c r="Q894" s="83"/>
      <c r="R894" s="83"/>
      <c r="S894" s="83"/>
      <c r="T894" s="83"/>
      <c r="U894" s="83"/>
      <c r="V894" s="83"/>
      <c r="W894" s="83"/>
      <c r="X894" s="83"/>
      <c r="Y894" s="83"/>
      <c r="Z894" s="83"/>
    </row>
    <row r="895" ht="14.25" customHeight="1" spans="1:26" x14ac:dyDescent="0.25">
      <c r="A895" s="83"/>
      <c r="B895" s="83"/>
      <c r="C895" s="83"/>
      <c r="D895" s="83"/>
      <c r="E895" s="83"/>
      <c r="F895" s="83"/>
      <c r="G895" s="83"/>
      <c r="H895" s="83"/>
      <c r="I895" s="83"/>
      <c r="J895" s="83"/>
      <c r="K895" s="83"/>
      <c r="L895" s="83"/>
      <c r="M895" s="83"/>
      <c r="N895" s="83"/>
      <c r="O895" s="83"/>
      <c r="P895" s="83"/>
      <c r="Q895" s="83"/>
      <c r="R895" s="83"/>
      <c r="S895" s="83"/>
      <c r="T895" s="83"/>
      <c r="U895" s="83"/>
      <c r="V895" s="83"/>
      <c r="W895" s="83"/>
      <c r="X895" s="83"/>
      <c r="Y895" s="83"/>
      <c r="Z895" s="83"/>
    </row>
    <row r="896" ht="14.25" customHeight="1" spans="1:26" x14ac:dyDescent="0.25">
      <c r="A896" s="83"/>
      <c r="B896" s="83"/>
      <c r="C896" s="83"/>
      <c r="D896" s="83"/>
      <c r="E896" s="83"/>
      <c r="F896" s="83"/>
      <c r="G896" s="83"/>
      <c r="H896" s="83"/>
      <c r="I896" s="83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83"/>
      <c r="U896" s="83"/>
      <c r="V896" s="83"/>
      <c r="W896" s="83"/>
      <c r="X896" s="83"/>
      <c r="Y896" s="83"/>
      <c r="Z896" s="83"/>
    </row>
    <row r="897" ht="14.25" customHeight="1" spans="1:26" x14ac:dyDescent="0.25">
      <c r="A897" s="83"/>
      <c r="B897" s="83"/>
      <c r="C897" s="83"/>
      <c r="D897" s="83"/>
      <c r="E897" s="83"/>
      <c r="F897" s="83"/>
      <c r="G897" s="83"/>
      <c r="H897" s="83"/>
      <c r="I897" s="83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83"/>
      <c r="U897" s="83"/>
      <c r="V897" s="83"/>
      <c r="W897" s="83"/>
      <c r="X897" s="83"/>
      <c r="Y897" s="83"/>
      <c r="Z897" s="83"/>
    </row>
    <row r="898" ht="14.25" customHeight="1" spans="1:26" x14ac:dyDescent="0.25">
      <c r="A898" s="83"/>
      <c r="B898" s="83"/>
      <c r="C898" s="83"/>
      <c r="D898" s="83"/>
      <c r="E898" s="83"/>
      <c r="F898" s="83"/>
      <c r="G898" s="83"/>
      <c r="H898" s="83"/>
      <c r="I898" s="83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83"/>
      <c r="U898" s="83"/>
      <c r="V898" s="83"/>
      <c r="W898" s="83"/>
      <c r="X898" s="83"/>
      <c r="Y898" s="83"/>
      <c r="Z898" s="83"/>
    </row>
    <row r="899" ht="14.25" customHeight="1" spans="1:26" x14ac:dyDescent="0.25">
      <c r="A899" s="83"/>
      <c r="B899" s="83"/>
      <c r="C899" s="83"/>
      <c r="D899" s="83"/>
      <c r="E899" s="83"/>
      <c r="F899" s="83"/>
      <c r="G899" s="83"/>
      <c r="H899" s="83"/>
      <c r="I899" s="83"/>
      <c r="J899" s="83"/>
      <c r="K899" s="83"/>
      <c r="L899" s="83"/>
      <c r="M899" s="83"/>
      <c r="N899" s="83"/>
      <c r="O899" s="83"/>
      <c r="P899" s="83"/>
      <c r="Q899" s="83"/>
      <c r="R899" s="83"/>
      <c r="S899" s="83"/>
      <c r="T899" s="83"/>
      <c r="U899" s="83"/>
      <c r="V899" s="83"/>
      <c r="W899" s="83"/>
      <c r="X899" s="83"/>
      <c r="Y899" s="83"/>
      <c r="Z899" s="83"/>
    </row>
    <row r="900" ht="14.25" customHeight="1" spans="1:26" x14ac:dyDescent="0.25">
      <c r="A900" s="83"/>
      <c r="B900" s="83"/>
      <c r="C900" s="83"/>
      <c r="D900" s="83"/>
      <c r="E900" s="83"/>
      <c r="F900" s="83"/>
      <c r="G900" s="83"/>
      <c r="H900" s="83"/>
      <c r="I900" s="83"/>
      <c r="J900" s="83"/>
      <c r="K900" s="83"/>
      <c r="L900" s="83"/>
      <c r="M900" s="83"/>
      <c r="N900" s="83"/>
      <c r="O900" s="83"/>
      <c r="P900" s="83"/>
      <c r="Q900" s="83"/>
      <c r="R900" s="83"/>
      <c r="S900" s="83"/>
      <c r="T900" s="83"/>
      <c r="U900" s="83"/>
      <c r="V900" s="83"/>
      <c r="W900" s="83"/>
      <c r="X900" s="83"/>
      <c r="Y900" s="83"/>
      <c r="Z900" s="83"/>
    </row>
    <row r="901" ht="14.25" customHeight="1" spans="1:26" x14ac:dyDescent="0.25">
      <c r="A901" s="83"/>
      <c r="B901" s="83"/>
      <c r="C901" s="83"/>
      <c r="D901" s="83"/>
      <c r="E901" s="83"/>
      <c r="F901" s="83"/>
      <c r="G901" s="83"/>
      <c r="H901" s="83"/>
      <c r="I901" s="83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83"/>
      <c r="U901" s="83"/>
      <c r="V901" s="83"/>
      <c r="W901" s="83"/>
      <c r="X901" s="83"/>
      <c r="Y901" s="83"/>
      <c r="Z901" s="83"/>
    </row>
    <row r="902" ht="14.25" customHeight="1" spans="1:26" x14ac:dyDescent="0.25">
      <c r="A902" s="83"/>
      <c r="B902" s="83"/>
      <c r="C902" s="83"/>
      <c r="D902" s="83"/>
      <c r="E902" s="83"/>
      <c r="F902" s="83"/>
      <c r="G902" s="83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83"/>
      <c r="U902" s="83"/>
      <c r="V902" s="83"/>
      <c r="W902" s="83"/>
      <c r="X902" s="83"/>
      <c r="Y902" s="83"/>
      <c r="Z902" s="83"/>
    </row>
    <row r="903" ht="14.25" customHeight="1" spans="1:26" x14ac:dyDescent="0.25">
      <c r="A903" s="83"/>
      <c r="B903" s="83"/>
      <c r="C903" s="83"/>
      <c r="D903" s="83"/>
      <c r="E903" s="83"/>
      <c r="F903" s="83"/>
      <c r="G903" s="83"/>
      <c r="H903" s="83"/>
      <c r="I903" s="83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83"/>
      <c r="U903" s="83"/>
      <c r="V903" s="83"/>
      <c r="W903" s="83"/>
      <c r="X903" s="83"/>
      <c r="Y903" s="83"/>
      <c r="Z903" s="83"/>
    </row>
    <row r="904" ht="14.25" customHeight="1" spans="1:26" x14ac:dyDescent="0.25">
      <c r="A904" s="83"/>
      <c r="B904" s="83"/>
      <c r="C904" s="83"/>
      <c r="D904" s="83"/>
      <c r="E904" s="83"/>
      <c r="F904" s="83"/>
      <c r="G904" s="83"/>
      <c r="H904" s="83"/>
      <c r="I904" s="83"/>
      <c r="J904" s="83"/>
      <c r="K904" s="83"/>
      <c r="L904" s="83"/>
      <c r="M904" s="83"/>
      <c r="N904" s="83"/>
      <c r="O904" s="83"/>
      <c r="P904" s="83"/>
      <c r="Q904" s="83"/>
      <c r="R904" s="83"/>
      <c r="S904" s="83"/>
      <c r="T904" s="83"/>
      <c r="U904" s="83"/>
      <c r="V904" s="83"/>
      <c r="W904" s="83"/>
      <c r="X904" s="83"/>
      <c r="Y904" s="83"/>
      <c r="Z904" s="83"/>
    </row>
    <row r="905" ht="14.25" customHeight="1" spans="1:26" x14ac:dyDescent="0.25">
      <c r="A905" s="83"/>
      <c r="B905" s="83"/>
      <c r="C905" s="83"/>
      <c r="D905" s="83"/>
      <c r="E905" s="83"/>
      <c r="F905" s="83"/>
      <c r="G905" s="83"/>
      <c r="H905" s="83"/>
      <c r="I905" s="83"/>
      <c r="J905" s="83"/>
      <c r="K905" s="83"/>
      <c r="L905" s="83"/>
      <c r="M905" s="83"/>
      <c r="N905" s="83"/>
      <c r="O905" s="83"/>
      <c r="P905" s="83"/>
      <c r="Q905" s="83"/>
      <c r="R905" s="83"/>
      <c r="S905" s="83"/>
      <c r="T905" s="83"/>
      <c r="U905" s="83"/>
      <c r="V905" s="83"/>
      <c r="W905" s="83"/>
      <c r="X905" s="83"/>
      <c r="Y905" s="83"/>
      <c r="Z905" s="83"/>
    </row>
    <row r="906" ht="14.25" customHeight="1" spans="1:26" x14ac:dyDescent="0.25">
      <c r="A906" s="83"/>
      <c r="B906" s="83"/>
      <c r="C906" s="83"/>
      <c r="D906" s="83"/>
      <c r="E906" s="83"/>
      <c r="F906" s="83"/>
      <c r="G906" s="83"/>
      <c r="H906" s="83"/>
      <c r="I906" s="83"/>
      <c r="J906" s="83"/>
      <c r="K906" s="83"/>
      <c r="L906" s="83"/>
      <c r="M906" s="83"/>
      <c r="N906" s="83"/>
      <c r="O906" s="83"/>
      <c r="P906" s="83"/>
      <c r="Q906" s="83"/>
      <c r="R906" s="83"/>
      <c r="S906" s="83"/>
      <c r="T906" s="83"/>
      <c r="U906" s="83"/>
      <c r="V906" s="83"/>
      <c r="W906" s="83"/>
      <c r="X906" s="83"/>
      <c r="Y906" s="83"/>
      <c r="Z906" s="83"/>
    </row>
    <row r="907" ht="14.25" customHeight="1" spans="1:26" x14ac:dyDescent="0.25">
      <c r="A907" s="83"/>
      <c r="B907" s="83"/>
      <c r="C907" s="83"/>
      <c r="D907" s="83"/>
      <c r="E907" s="83"/>
      <c r="F907" s="83"/>
      <c r="G907" s="83"/>
      <c r="H907" s="83"/>
      <c r="I907" s="83"/>
      <c r="J907" s="83"/>
      <c r="K907" s="83"/>
      <c r="L907" s="83"/>
      <c r="M907" s="83"/>
      <c r="N907" s="83"/>
      <c r="O907" s="83"/>
      <c r="P907" s="83"/>
      <c r="Q907" s="83"/>
      <c r="R907" s="83"/>
      <c r="S907" s="83"/>
      <c r="T907" s="83"/>
      <c r="U907" s="83"/>
      <c r="V907" s="83"/>
      <c r="W907" s="83"/>
      <c r="X907" s="83"/>
      <c r="Y907" s="83"/>
      <c r="Z907" s="83"/>
    </row>
    <row r="908" ht="14.25" customHeight="1" spans="1:26" x14ac:dyDescent="0.25">
      <c r="A908" s="83"/>
      <c r="B908" s="83"/>
      <c r="C908" s="83"/>
      <c r="D908" s="83"/>
      <c r="E908" s="83"/>
      <c r="F908" s="83"/>
      <c r="G908" s="83"/>
      <c r="H908" s="83"/>
      <c r="I908" s="83"/>
      <c r="J908" s="83"/>
      <c r="K908" s="83"/>
      <c r="L908" s="83"/>
      <c r="M908" s="83"/>
      <c r="N908" s="83"/>
      <c r="O908" s="83"/>
      <c r="P908" s="83"/>
      <c r="Q908" s="83"/>
      <c r="R908" s="83"/>
      <c r="S908" s="83"/>
      <c r="T908" s="83"/>
      <c r="U908" s="83"/>
      <c r="V908" s="83"/>
      <c r="W908" s="83"/>
      <c r="X908" s="83"/>
      <c r="Y908" s="83"/>
      <c r="Z908" s="83"/>
    </row>
    <row r="909" ht="14.25" customHeight="1" spans="1:26" x14ac:dyDescent="0.25">
      <c r="A909" s="83"/>
      <c r="B909" s="83"/>
      <c r="C909" s="83"/>
      <c r="D909" s="83"/>
      <c r="E909" s="83"/>
      <c r="F909" s="83"/>
      <c r="G909" s="83"/>
      <c r="H909" s="83"/>
      <c r="I909" s="83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83"/>
      <c r="U909" s="83"/>
      <c r="V909" s="83"/>
      <c r="W909" s="83"/>
      <c r="X909" s="83"/>
      <c r="Y909" s="83"/>
      <c r="Z909" s="83"/>
    </row>
    <row r="910" ht="14.25" customHeight="1" spans="1:26" x14ac:dyDescent="0.25">
      <c r="A910" s="83"/>
      <c r="B910" s="83"/>
      <c r="C910" s="83"/>
      <c r="D910" s="83"/>
      <c r="E910" s="83"/>
      <c r="F910" s="83"/>
      <c r="G910" s="83"/>
      <c r="H910" s="83"/>
      <c r="I910" s="83"/>
      <c r="J910" s="83"/>
      <c r="K910" s="83"/>
      <c r="L910" s="83"/>
      <c r="M910" s="83"/>
      <c r="N910" s="83"/>
      <c r="O910" s="83"/>
      <c r="P910" s="83"/>
      <c r="Q910" s="83"/>
      <c r="R910" s="83"/>
      <c r="S910" s="83"/>
      <c r="T910" s="83"/>
      <c r="U910" s="83"/>
      <c r="V910" s="83"/>
      <c r="W910" s="83"/>
      <c r="X910" s="83"/>
      <c r="Y910" s="83"/>
      <c r="Z910" s="83"/>
    </row>
    <row r="911" ht="14.25" customHeight="1" spans="1:26" x14ac:dyDescent="0.25">
      <c r="A911" s="83"/>
      <c r="B911" s="83"/>
      <c r="C911" s="83"/>
      <c r="D911" s="83"/>
      <c r="E911" s="83"/>
      <c r="F911" s="83"/>
      <c r="G911" s="83"/>
      <c r="H911" s="83"/>
      <c r="I911" s="83"/>
      <c r="J911" s="83"/>
      <c r="K911" s="83"/>
      <c r="L911" s="83"/>
      <c r="M911" s="83"/>
      <c r="N911" s="83"/>
      <c r="O911" s="83"/>
      <c r="P911" s="83"/>
      <c r="Q911" s="83"/>
      <c r="R911" s="83"/>
      <c r="S911" s="83"/>
      <c r="T911" s="83"/>
      <c r="U911" s="83"/>
      <c r="V911" s="83"/>
      <c r="W911" s="83"/>
      <c r="X911" s="83"/>
      <c r="Y911" s="83"/>
      <c r="Z911" s="83"/>
    </row>
    <row r="912" ht="14.25" customHeight="1" spans="1:26" x14ac:dyDescent="0.25">
      <c r="A912" s="83"/>
      <c r="B912" s="83"/>
      <c r="C912" s="83"/>
      <c r="D912" s="83"/>
      <c r="E912" s="83"/>
      <c r="F912" s="83"/>
      <c r="G912" s="83"/>
      <c r="H912" s="83"/>
      <c r="I912" s="83"/>
      <c r="J912" s="83"/>
      <c r="K912" s="83"/>
      <c r="L912" s="83"/>
      <c r="M912" s="83"/>
      <c r="N912" s="83"/>
      <c r="O912" s="83"/>
      <c r="P912" s="83"/>
      <c r="Q912" s="83"/>
      <c r="R912" s="83"/>
      <c r="S912" s="83"/>
      <c r="T912" s="83"/>
      <c r="U912" s="83"/>
      <c r="V912" s="83"/>
      <c r="W912" s="83"/>
      <c r="X912" s="83"/>
      <c r="Y912" s="83"/>
      <c r="Z912" s="83"/>
    </row>
    <row r="913" ht="14.25" customHeight="1" spans="1:26" x14ac:dyDescent="0.25">
      <c r="A913" s="83"/>
      <c r="B913" s="83"/>
      <c r="C913" s="83"/>
      <c r="D913" s="83"/>
      <c r="E913" s="83"/>
      <c r="F913" s="83"/>
      <c r="G913" s="83"/>
      <c r="H913" s="83"/>
      <c r="I913" s="83"/>
      <c r="J913" s="83"/>
      <c r="K913" s="83"/>
      <c r="L913" s="83"/>
      <c r="M913" s="83"/>
      <c r="N913" s="83"/>
      <c r="O913" s="83"/>
      <c r="P913" s="83"/>
      <c r="Q913" s="83"/>
      <c r="R913" s="83"/>
      <c r="S913" s="83"/>
      <c r="T913" s="83"/>
      <c r="U913" s="83"/>
      <c r="V913" s="83"/>
      <c r="W913" s="83"/>
      <c r="X913" s="83"/>
      <c r="Y913" s="83"/>
      <c r="Z913" s="83"/>
    </row>
    <row r="914" ht="14.25" customHeight="1" spans="1:26" x14ac:dyDescent="0.25">
      <c r="A914" s="83"/>
      <c r="B914" s="83"/>
      <c r="C914" s="83"/>
      <c r="D914" s="83"/>
      <c r="E914" s="83"/>
      <c r="F914" s="83"/>
      <c r="G914" s="83"/>
      <c r="H914" s="83"/>
      <c r="I914" s="83"/>
      <c r="J914" s="83"/>
      <c r="K914" s="83"/>
      <c r="L914" s="83"/>
      <c r="M914" s="83"/>
      <c r="N914" s="83"/>
      <c r="O914" s="83"/>
      <c r="P914" s="83"/>
      <c r="Q914" s="83"/>
      <c r="R914" s="83"/>
      <c r="S914" s="83"/>
      <c r="T914" s="83"/>
      <c r="U914" s="83"/>
      <c r="V914" s="83"/>
      <c r="W914" s="83"/>
      <c r="X914" s="83"/>
      <c r="Y914" s="83"/>
      <c r="Z914" s="83"/>
    </row>
    <row r="915" ht="14.25" customHeight="1" spans="1:26" x14ac:dyDescent="0.25">
      <c r="A915" s="83"/>
      <c r="B915" s="83"/>
      <c r="C915" s="83"/>
      <c r="D915" s="83"/>
      <c r="E915" s="83"/>
      <c r="F915" s="83"/>
      <c r="G915" s="83"/>
      <c r="H915" s="83"/>
      <c r="I915" s="83"/>
      <c r="J915" s="83"/>
      <c r="K915" s="83"/>
      <c r="L915" s="83"/>
      <c r="M915" s="83"/>
      <c r="N915" s="83"/>
      <c r="O915" s="83"/>
      <c r="P915" s="83"/>
      <c r="Q915" s="83"/>
      <c r="R915" s="83"/>
      <c r="S915" s="83"/>
      <c r="T915" s="83"/>
      <c r="U915" s="83"/>
      <c r="V915" s="83"/>
      <c r="W915" s="83"/>
      <c r="X915" s="83"/>
      <c r="Y915" s="83"/>
      <c r="Z915" s="83"/>
    </row>
    <row r="916" ht="14.25" customHeight="1" spans="1:26" x14ac:dyDescent="0.25">
      <c r="A916" s="83"/>
      <c r="B916" s="83"/>
      <c r="C916" s="83"/>
      <c r="D916" s="83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  <c r="X916" s="83"/>
      <c r="Y916" s="83"/>
      <c r="Z916" s="83"/>
    </row>
    <row r="917" ht="14.25" customHeight="1" spans="1:26" x14ac:dyDescent="0.25">
      <c r="A917" s="83"/>
      <c r="B917" s="83"/>
      <c r="C917" s="83"/>
      <c r="D917" s="83"/>
      <c r="E917" s="83"/>
      <c r="F917" s="83"/>
      <c r="G917" s="83"/>
      <c r="H917" s="83"/>
      <c r="I917" s="83"/>
      <c r="J917" s="83"/>
      <c r="K917" s="83"/>
      <c r="L917" s="83"/>
      <c r="M917" s="83"/>
      <c r="N917" s="83"/>
      <c r="O917" s="83"/>
      <c r="P917" s="83"/>
      <c r="Q917" s="83"/>
      <c r="R917" s="83"/>
      <c r="S917" s="83"/>
      <c r="T917" s="83"/>
      <c r="U917" s="83"/>
      <c r="V917" s="83"/>
      <c r="W917" s="83"/>
      <c r="X917" s="83"/>
      <c r="Y917" s="83"/>
      <c r="Z917" s="83"/>
    </row>
    <row r="918" ht="14.25" customHeight="1" spans="1:26" x14ac:dyDescent="0.25">
      <c r="A918" s="83"/>
      <c r="B918" s="83"/>
      <c r="C918" s="83"/>
      <c r="D918" s="83"/>
      <c r="E918" s="83"/>
      <c r="F918" s="83"/>
      <c r="G918" s="83"/>
      <c r="H918" s="83"/>
      <c r="I918" s="83"/>
      <c r="J918" s="83"/>
      <c r="K918" s="83"/>
      <c r="L918" s="83"/>
      <c r="M918" s="83"/>
      <c r="N918" s="83"/>
      <c r="O918" s="83"/>
      <c r="P918" s="83"/>
      <c r="Q918" s="83"/>
      <c r="R918" s="83"/>
      <c r="S918" s="83"/>
      <c r="T918" s="83"/>
      <c r="U918" s="83"/>
      <c r="V918" s="83"/>
      <c r="W918" s="83"/>
      <c r="X918" s="83"/>
      <c r="Y918" s="83"/>
      <c r="Z918" s="83"/>
    </row>
    <row r="919" ht="14.25" customHeight="1" spans="1:26" x14ac:dyDescent="0.25">
      <c r="A919" s="83"/>
      <c r="B919" s="83"/>
      <c r="C919" s="83"/>
      <c r="D919" s="83"/>
      <c r="E919" s="83"/>
      <c r="F919" s="83"/>
      <c r="G919" s="83"/>
      <c r="H919" s="83"/>
      <c r="I919" s="83"/>
      <c r="J919" s="83"/>
      <c r="K919" s="83"/>
      <c r="L919" s="83"/>
      <c r="M919" s="83"/>
      <c r="N919" s="83"/>
      <c r="O919" s="83"/>
      <c r="P919" s="83"/>
      <c r="Q919" s="83"/>
      <c r="R919" s="83"/>
      <c r="S919" s="83"/>
      <c r="T919" s="83"/>
      <c r="U919" s="83"/>
      <c r="V919" s="83"/>
      <c r="W919" s="83"/>
      <c r="X919" s="83"/>
      <c r="Y919" s="83"/>
      <c r="Z919" s="83"/>
    </row>
    <row r="920" ht="14.25" customHeight="1" spans="1:26" x14ac:dyDescent="0.25">
      <c r="A920" s="83"/>
      <c r="B920" s="83"/>
      <c r="C920" s="83"/>
      <c r="D920" s="83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</row>
    <row r="921" ht="14.25" customHeight="1" spans="1:26" x14ac:dyDescent="0.25">
      <c r="A921" s="83"/>
      <c r="B921" s="83"/>
      <c r="C921" s="83"/>
      <c r="D921" s="83"/>
      <c r="E921" s="83"/>
      <c r="F921" s="83"/>
      <c r="G921" s="83"/>
      <c r="H921" s="83"/>
      <c r="I921" s="83"/>
      <c r="J921" s="83"/>
      <c r="K921" s="83"/>
      <c r="L921" s="83"/>
      <c r="M921" s="83"/>
      <c r="N921" s="83"/>
      <c r="O921" s="83"/>
      <c r="P921" s="83"/>
      <c r="Q921" s="83"/>
      <c r="R921" s="83"/>
      <c r="S921" s="83"/>
      <c r="T921" s="83"/>
      <c r="U921" s="83"/>
      <c r="V921" s="83"/>
      <c r="W921" s="83"/>
      <c r="X921" s="83"/>
      <c r="Y921" s="83"/>
      <c r="Z921" s="83"/>
    </row>
    <row r="922" ht="14.25" customHeight="1" spans="1:26" x14ac:dyDescent="0.25">
      <c r="A922" s="83"/>
      <c r="B922" s="83"/>
      <c r="C922" s="83"/>
      <c r="D922" s="83"/>
      <c r="E922" s="83"/>
      <c r="F922" s="83"/>
      <c r="G922" s="83"/>
      <c r="H922" s="83"/>
      <c r="I922" s="83"/>
      <c r="J922" s="83"/>
      <c r="K922" s="83"/>
      <c r="L922" s="83"/>
      <c r="M922" s="83"/>
      <c r="N922" s="83"/>
      <c r="O922" s="83"/>
      <c r="P922" s="83"/>
      <c r="Q922" s="83"/>
      <c r="R922" s="83"/>
      <c r="S922" s="83"/>
      <c r="T922" s="83"/>
      <c r="U922" s="83"/>
      <c r="V922" s="83"/>
      <c r="W922" s="83"/>
      <c r="X922" s="83"/>
      <c r="Y922" s="83"/>
      <c r="Z922" s="83"/>
    </row>
    <row r="923" ht="14.25" customHeight="1" spans="1:26" x14ac:dyDescent="0.25">
      <c r="A923" s="83"/>
      <c r="B923" s="83"/>
      <c r="C923" s="83"/>
      <c r="D923" s="83"/>
      <c r="E923" s="83"/>
      <c r="F923" s="83"/>
      <c r="G923" s="83"/>
      <c r="H923" s="83"/>
      <c r="I923" s="83"/>
      <c r="J923" s="83"/>
      <c r="K923" s="83"/>
      <c r="L923" s="83"/>
      <c r="M923" s="83"/>
      <c r="N923" s="83"/>
      <c r="O923" s="83"/>
      <c r="P923" s="83"/>
      <c r="Q923" s="83"/>
      <c r="R923" s="83"/>
      <c r="S923" s="83"/>
      <c r="T923" s="83"/>
      <c r="U923" s="83"/>
      <c r="V923" s="83"/>
      <c r="W923" s="83"/>
      <c r="X923" s="83"/>
      <c r="Y923" s="83"/>
      <c r="Z923" s="83"/>
    </row>
    <row r="924" ht="14.25" customHeight="1" spans="1:26" x14ac:dyDescent="0.25">
      <c r="A924" s="83"/>
      <c r="B924" s="83"/>
      <c r="C924" s="83"/>
      <c r="D924" s="83"/>
      <c r="E924" s="83"/>
      <c r="F924" s="83"/>
      <c r="G924" s="83"/>
      <c r="H924" s="83"/>
      <c r="I924" s="83"/>
      <c r="J924" s="83"/>
      <c r="K924" s="83"/>
      <c r="L924" s="83"/>
      <c r="M924" s="83"/>
      <c r="N924" s="83"/>
      <c r="O924" s="83"/>
      <c r="P924" s="83"/>
      <c r="Q924" s="83"/>
      <c r="R924" s="83"/>
      <c r="S924" s="83"/>
      <c r="T924" s="83"/>
      <c r="U924" s="83"/>
      <c r="V924" s="83"/>
      <c r="W924" s="83"/>
      <c r="X924" s="83"/>
      <c r="Y924" s="83"/>
      <c r="Z924" s="83"/>
    </row>
    <row r="925" ht="14.25" customHeight="1" spans="1:26" x14ac:dyDescent="0.25">
      <c r="A925" s="83"/>
      <c r="B925" s="83"/>
      <c r="C925" s="83"/>
      <c r="D925" s="83"/>
      <c r="E925" s="83"/>
      <c r="F925" s="83"/>
      <c r="G925" s="83"/>
      <c r="H925" s="83"/>
      <c r="I925" s="83"/>
      <c r="J925" s="83"/>
      <c r="K925" s="83"/>
      <c r="L925" s="83"/>
      <c r="M925" s="83"/>
      <c r="N925" s="83"/>
      <c r="O925" s="83"/>
      <c r="P925" s="83"/>
      <c r="Q925" s="83"/>
      <c r="R925" s="83"/>
      <c r="S925" s="83"/>
      <c r="T925" s="83"/>
      <c r="U925" s="83"/>
      <c r="V925" s="83"/>
      <c r="W925" s="83"/>
      <c r="X925" s="83"/>
      <c r="Y925" s="83"/>
      <c r="Z925" s="83"/>
    </row>
    <row r="926" ht="14.25" customHeight="1" spans="1:26" x14ac:dyDescent="0.25">
      <c r="A926" s="83"/>
      <c r="B926" s="83"/>
      <c r="C926" s="83"/>
      <c r="D926" s="83"/>
      <c r="E926" s="83"/>
      <c r="F926" s="83"/>
      <c r="G926" s="83"/>
      <c r="H926" s="83"/>
      <c r="I926" s="83"/>
      <c r="J926" s="83"/>
      <c r="K926" s="83"/>
      <c r="L926" s="83"/>
      <c r="M926" s="83"/>
      <c r="N926" s="83"/>
      <c r="O926" s="83"/>
      <c r="P926" s="83"/>
      <c r="Q926" s="83"/>
      <c r="R926" s="83"/>
      <c r="S926" s="83"/>
      <c r="T926" s="83"/>
      <c r="U926" s="83"/>
      <c r="V926" s="83"/>
      <c r="W926" s="83"/>
      <c r="X926" s="83"/>
      <c r="Y926" s="83"/>
      <c r="Z926" s="83"/>
    </row>
    <row r="927" ht="14.25" customHeight="1" spans="1:26" x14ac:dyDescent="0.25">
      <c r="A927" s="83"/>
      <c r="B927" s="83"/>
      <c r="C927" s="83"/>
      <c r="D927" s="83"/>
      <c r="E927" s="83"/>
      <c r="F927" s="83"/>
      <c r="G927" s="83"/>
      <c r="H927" s="83"/>
      <c r="I927" s="83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83"/>
      <c r="U927" s="83"/>
      <c r="V927" s="83"/>
      <c r="W927" s="83"/>
      <c r="X927" s="83"/>
      <c r="Y927" s="83"/>
      <c r="Z927" s="83"/>
    </row>
    <row r="928" ht="14.25" customHeight="1" spans="1:26" x14ac:dyDescent="0.25">
      <c r="A928" s="83"/>
      <c r="B928" s="83"/>
      <c r="C928" s="83"/>
      <c r="D928" s="83"/>
      <c r="E928" s="83"/>
      <c r="F928" s="83"/>
      <c r="G928" s="83"/>
      <c r="H928" s="83"/>
      <c r="I928" s="83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83"/>
      <c r="U928" s="83"/>
      <c r="V928" s="83"/>
      <c r="W928" s="83"/>
      <c r="X928" s="83"/>
      <c r="Y928" s="83"/>
      <c r="Z928" s="83"/>
    </row>
    <row r="929" ht="14.25" customHeight="1" spans="1:26" x14ac:dyDescent="0.25">
      <c r="A929" s="83"/>
      <c r="B929" s="83"/>
      <c r="C929" s="83"/>
      <c r="D929" s="83"/>
      <c r="E929" s="83"/>
      <c r="F929" s="83"/>
      <c r="G929" s="83"/>
      <c r="H929" s="83"/>
      <c r="I929" s="83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83"/>
      <c r="U929" s="83"/>
      <c r="V929" s="83"/>
      <c r="W929" s="83"/>
      <c r="X929" s="83"/>
      <c r="Y929" s="83"/>
      <c r="Z929" s="83"/>
    </row>
    <row r="930" ht="14.25" customHeight="1" spans="1:26" x14ac:dyDescent="0.25">
      <c r="A930" s="83"/>
      <c r="B930" s="83"/>
      <c r="C930" s="83"/>
      <c r="D930" s="83"/>
      <c r="E930" s="83"/>
      <c r="F930" s="83"/>
      <c r="G930" s="83"/>
      <c r="H930" s="83"/>
      <c r="I930" s="83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83"/>
      <c r="U930" s="83"/>
      <c r="V930" s="83"/>
      <c r="W930" s="83"/>
      <c r="X930" s="83"/>
      <c r="Y930" s="83"/>
      <c r="Z930" s="83"/>
    </row>
    <row r="931" ht="14.25" customHeight="1" spans="1:26" x14ac:dyDescent="0.25">
      <c r="A931" s="83"/>
      <c r="B931" s="83"/>
      <c r="C931" s="83"/>
      <c r="D931" s="83"/>
      <c r="E931" s="83"/>
      <c r="F931" s="83"/>
      <c r="G931" s="83"/>
      <c r="H931" s="83"/>
      <c r="I931" s="83"/>
      <c r="J931" s="83"/>
      <c r="K931" s="83"/>
      <c r="L931" s="83"/>
      <c r="M931" s="83"/>
      <c r="N931" s="83"/>
      <c r="O931" s="83"/>
      <c r="P931" s="83"/>
      <c r="Q931" s="83"/>
      <c r="R931" s="83"/>
      <c r="S931" s="83"/>
      <c r="T931" s="83"/>
      <c r="U931" s="83"/>
      <c r="V931" s="83"/>
      <c r="W931" s="83"/>
      <c r="X931" s="83"/>
      <c r="Y931" s="83"/>
      <c r="Z931" s="83"/>
    </row>
    <row r="932" ht="14.25" customHeight="1" spans="1:26" x14ac:dyDescent="0.25">
      <c r="A932" s="83"/>
      <c r="B932" s="83"/>
      <c r="C932" s="83"/>
      <c r="D932" s="83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  <c r="X932" s="83"/>
      <c r="Y932" s="83"/>
      <c r="Z932" s="83"/>
    </row>
    <row r="933" ht="14.25" customHeight="1" spans="1:26" x14ac:dyDescent="0.25">
      <c r="A933" s="83"/>
      <c r="B933" s="83"/>
      <c r="C933" s="83"/>
      <c r="D933" s="83"/>
      <c r="E933" s="83"/>
      <c r="F933" s="83"/>
      <c r="G933" s="83"/>
      <c r="H933" s="83"/>
      <c r="I933" s="83"/>
      <c r="J933" s="83"/>
      <c r="K933" s="83"/>
      <c r="L933" s="83"/>
      <c r="M933" s="83"/>
      <c r="N933" s="83"/>
      <c r="O933" s="83"/>
      <c r="P933" s="83"/>
      <c r="Q933" s="83"/>
      <c r="R933" s="83"/>
      <c r="S933" s="83"/>
      <c r="T933" s="83"/>
      <c r="U933" s="83"/>
      <c r="V933" s="83"/>
      <c r="W933" s="83"/>
      <c r="X933" s="83"/>
      <c r="Y933" s="83"/>
      <c r="Z933" s="83"/>
    </row>
    <row r="934" ht="14.25" customHeight="1" spans="1:26" x14ac:dyDescent="0.25">
      <c r="A934" s="83"/>
      <c r="B934" s="83"/>
      <c r="C934" s="83"/>
      <c r="D934" s="83"/>
      <c r="E934" s="83"/>
      <c r="F934" s="83"/>
      <c r="G934" s="83"/>
      <c r="H934" s="83"/>
      <c r="I934" s="83"/>
      <c r="J934" s="83"/>
      <c r="K934" s="83"/>
      <c r="L934" s="83"/>
      <c r="M934" s="83"/>
      <c r="N934" s="83"/>
      <c r="O934" s="83"/>
      <c r="P934" s="83"/>
      <c r="Q934" s="83"/>
      <c r="R934" s="83"/>
      <c r="S934" s="83"/>
      <c r="T934" s="83"/>
      <c r="U934" s="83"/>
      <c r="V934" s="83"/>
      <c r="W934" s="83"/>
      <c r="X934" s="83"/>
      <c r="Y934" s="83"/>
      <c r="Z934" s="83"/>
    </row>
    <row r="935" ht="14.25" customHeight="1" spans="1:26" x14ac:dyDescent="0.25">
      <c r="A935" s="83"/>
      <c r="B935" s="83"/>
      <c r="C935" s="83"/>
      <c r="D935" s="83"/>
      <c r="E935" s="83"/>
      <c r="F935" s="83"/>
      <c r="G935" s="83"/>
      <c r="H935" s="83"/>
      <c r="I935" s="83"/>
      <c r="J935" s="83"/>
      <c r="K935" s="83"/>
      <c r="L935" s="83"/>
      <c r="M935" s="83"/>
      <c r="N935" s="83"/>
      <c r="O935" s="83"/>
      <c r="P935" s="83"/>
      <c r="Q935" s="83"/>
      <c r="R935" s="83"/>
      <c r="S935" s="83"/>
      <c r="T935" s="83"/>
      <c r="U935" s="83"/>
      <c r="V935" s="83"/>
      <c r="W935" s="83"/>
      <c r="X935" s="83"/>
      <c r="Y935" s="83"/>
      <c r="Z935" s="83"/>
    </row>
    <row r="936" ht="14.25" customHeight="1" spans="1:26" x14ac:dyDescent="0.25">
      <c r="A936" s="83"/>
      <c r="B936" s="83"/>
      <c r="C936" s="83"/>
      <c r="D936" s="83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  <c r="X936" s="83"/>
      <c r="Y936" s="83"/>
      <c r="Z936" s="83"/>
    </row>
    <row r="937" ht="14.25" customHeight="1" spans="1:26" x14ac:dyDescent="0.25">
      <c r="A937" s="83"/>
      <c r="B937" s="83"/>
      <c r="C937" s="83"/>
      <c r="D937" s="83"/>
      <c r="E937" s="83"/>
      <c r="F937" s="83"/>
      <c r="G937" s="83"/>
      <c r="H937" s="83"/>
      <c r="I937" s="83"/>
      <c r="J937" s="83"/>
      <c r="K937" s="83"/>
      <c r="L937" s="83"/>
      <c r="M937" s="83"/>
      <c r="N937" s="83"/>
      <c r="O937" s="83"/>
      <c r="P937" s="83"/>
      <c r="Q937" s="83"/>
      <c r="R937" s="83"/>
      <c r="S937" s="83"/>
      <c r="T937" s="83"/>
      <c r="U937" s="83"/>
      <c r="V937" s="83"/>
      <c r="W937" s="83"/>
      <c r="X937" s="83"/>
      <c r="Y937" s="83"/>
      <c r="Z937" s="83"/>
    </row>
    <row r="938" ht="14.25" customHeight="1" spans="1:26" x14ac:dyDescent="0.25">
      <c r="A938" s="83"/>
      <c r="B938" s="83"/>
      <c r="C938" s="83"/>
      <c r="D938" s="83"/>
      <c r="E938" s="83"/>
      <c r="F938" s="83"/>
      <c r="G938" s="83"/>
      <c r="H938" s="83"/>
      <c r="I938" s="83"/>
      <c r="J938" s="83"/>
      <c r="K938" s="83"/>
      <c r="L938" s="83"/>
      <c r="M938" s="83"/>
      <c r="N938" s="83"/>
      <c r="O938" s="83"/>
      <c r="P938" s="83"/>
      <c r="Q938" s="83"/>
      <c r="R938" s="83"/>
      <c r="S938" s="83"/>
      <c r="T938" s="83"/>
      <c r="U938" s="83"/>
      <c r="V938" s="83"/>
      <c r="W938" s="83"/>
      <c r="X938" s="83"/>
      <c r="Y938" s="83"/>
      <c r="Z938" s="83"/>
    </row>
    <row r="939" ht="14.25" customHeight="1" spans="1:26" x14ac:dyDescent="0.25">
      <c r="A939" s="83"/>
      <c r="B939" s="83"/>
      <c r="C939" s="83"/>
      <c r="D939" s="83"/>
      <c r="E939" s="83"/>
      <c r="F939" s="83"/>
      <c r="G939" s="83"/>
      <c r="H939" s="83"/>
      <c r="I939" s="83"/>
      <c r="J939" s="83"/>
      <c r="K939" s="83"/>
      <c r="L939" s="83"/>
      <c r="M939" s="83"/>
      <c r="N939" s="83"/>
      <c r="O939" s="83"/>
      <c r="P939" s="83"/>
      <c r="Q939" s="83"/>
      <c r="R939" s="83"/>
      <c r="S939" s="83"/>
      <c r="T939" s="83"/>
      <c r="U939" s="83"/>
      <c r="V939" s="83"/>
      <c r="W939" s="83"/>
      <c r="X939" s="83"/>
      <c r="Y939" s="83"/>
      <c r="Z939" s="83"/>
    </row>
    <row r="940" ht="14.25" customHeight="1" spans="1:26" x14ac:dyDescent="0.25">
      <c r="A940" s="83"/>
      <c r="B940" s="83"/>
      <c r="C940" s="83"/>
      <c r="D940" s="83"/>
      <c r="E940" s="83"/>
      <c r="F940" s="83"/>
      <c r="G940" s="83"/>
      <c r="H940" s="83"/>
      <c r="I940" s="83"/>
      <c r="J940" s="83"/>
      <c r="K940" s="83"/>
      <c r="L940" s="83"/>
      <c r="M940" s="83"/>
      <c r="N940" s="83"/>
      <c r="O940" s="83"/>
      <c r="P940" s="83"/>
      <c r="Q940" s="83"/>
      <c r="R940" s="83"/>
      <c r="S940" s="83"/>
      <c r="T940" s="83"/>
      <c r="U940" s="83"/>
      <c r="V940" s="83"/>
      <c r="W940" s="83"/>
      <c r="X940" s="83"/>
      <c r="Y940" s="83"/>
      <c r="Z940" s="83"/>
    </row>
    <row r="941" ht="14.25" customHeight="1" spans="1:26" x14ac:dyDescent="0.25">
      <c r="A941" s="83"/>
      <c r="B941" s="83"/>
      <c r="C941" s="83"/>
      <c r="D941" s="83"/>
      <c r="E941" s="83"/>
      <c r="F941" s="83"/>
      <c r="G941" s="83"/>
      <c r="H941" s="83"/>
      <c r="I941" s="83"/>
      <c r="J941" s="83"/>
      <c r="K941" s="83"/>
      <c r="L941" s="83"/>
      <c r="M941" s="83"/>
      <c r="N941" s="83"/>
      <c r="O941" s="83"/>
      <c r="P941" s="83"/>
      <c r="Q941" s="83"/>
      <c r="R941" s="83"/>
      <c r="S941" s="83"/>
      <c r="T941" s="83"/>
      <c r="U941" s="83"/>
      <c r="V941" s="83"/>
      <c r="W941" s="83"/>
      <c r="X941" s="83"/>
      <c r="Y941" s="83"/>
      <c r="Z941" s="83"/>
    </row>
    <row r="942" ht="14.25" customHeight="1" spans="1:26" x14ac:dyDescent="0.25">
      <c r="A942" s="83"/>
      <c r="B942" s="83"/>
      <c r="C942" s="83"/>
      <c r="D942" s="83"/>
      <c r="E942" s="83"/>
      <c r="F942" s="83"/>
      <c r="G942" s="83"/>
      <c r="H942" s="83"/>
      <c r="I942" s="83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  <c r="X942" s="83"/>
      <c r="Y942" s="83"/>
      <c r="Z942" s="83"/>
    </row>
    <row r="943" ht="14.25" customHeight="1" spans="1:26" x14ac:dyDescent="0.25">
      <c r="A943" s="83"/>
      <c r="B943" s="83"/>
      <c r="C943" s="83"/>
      <c r="D943" s="83"/>
      <c r="E943" s="83"/>
      <c r="F943" s="83"/>
      <c r="G943" s="83"/>
      <c r="H943" s="83"/>
      <c r="I943" s="83"/>
      <c r="J943" s="83"/>
      <c r="K943" s="83"/>
      <c r="L943" s="83"/>
      <c r="M943" s="83"/>
      <c r="N943" s="83"/>
      <c r="O943" s="83"/>
      <c r="P943" s="83"/>
      <c r="Q943" s="83"/>
      <c r="R943" s="83"/>
      <c r="S943" s="83"/>
      <c r="T943" s="83"/>
      <c r="U943" s="83"/>
      <c r="V943" s="83"/>
      <c r="W943" s="83"/>
      <c r="X943" s="83"/>
      <c r="Y943" s="83"/>
      <c r="Z943" s="83"/>
    </row>
    <row r="944" ht="14.25" customHeight="1" spans="1:26" x14ac:dyDescent="0.25">
      <c r="A944" s="83"/>
      <c r="B944" s="83"/>
      <c r="C944" s="83"/>
      <c r="D944" s="83"/>
      <c r="E944" s="83"/>
      <c r="F944" s="83"/>
      <c r="G944" s="83"/>
      <c r="H944" s="83"/>
      <c r="I944" s="83"/>
      <c r="J944" s="83"/>
      <c r="K944" s="83"/>
      <c r="L944" s="83"/>
      <c r="M944" s="83"/>
      <c r="N944" s="83"/>
      <c r="O944" s="83"/>
      <c r="P944" s="83"/>
      <c r="Q944" s="83"/>
      <c r="R944" s="83"/>
      <c r="S944" s="83"/>
      <c r="T944" s="83"/>
      <c r="U944" s="83"/>
      <c r="V944" s="83"/>
      <c r="W944" s="83"/>
      <c r="X944" s="83"/>
      <c r="Y944" s="83"/>
      <c r="Z944" s="83"/>
    </row>
    <row r="945" ht="14.25" customHeight="1" spans="1:26" x14ac:dyDescent="0.25">
      <c r="A945" s="83"/>
      <c r="B945" s="83"/>
      <c r="C945" s="83"/>
      <c r="D945" s="83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83"/>
      <c r="U945" s="83"/>
      <c r="V945" s="83"/>
      <c r="W945" s="83"/>
      <c r="X945" s="83"/>
      <c r="Y945" s="83"/>
      <c r="Z945" s="83"/>
    </row>
    <row r="946" ht="14.25" customHeight="1" spans="1:26" x14ac:dyDescent="0.25">
      <c r="A946" s="83"/>
      <c r="B946" s="83"/>
      <c r="C946" s="83"/>
      <c r="D946" s="83"/>
      <c r="E946" s="83"/>
      <c r="F946" s="83"/>
      <c r="G946" s="83"/>
      <c r="H946" s="83"/>
      <c r="I946" s="83"/>
      <c r="J946" s="83"/>
      <c r="K946" s="83"/>
      <c r="L946" s="83"/>
      <c r="M946" s="83"/>
      <c r="N946" s="83"/>
      <c r="O946" s="83"/>
      <c r="P946" s="83"/>
      <c r="Q946" s="83"/>
      <c r="R946" s="83"/>
      <c r="S946" s="83"/>
      <c r="T946" s="83"/>
      <c r="U946" s="83"/>
      <c r="V946" s="83"/>
      <c r="W946" s="83"/>
      <c r="X946" s="83"/>
      <c r="Y946" s="83"/>
      <c r="Z946" s="83"/>
    </row>
    <row r="947" ht="14.25" customHeight="1" spans="1:26" x14ac:dyDescent="0.25">
      <c r="A947" s="83"/>
      <c r="B947" s="83"/>
      <c r="C947" s="83"/>
      <c r="D947" s="83"/>
      <c r="E947" s="83"/>
      <c r="F947" s="83"/>
      <c r="G947" s="83"/>
      <c r="H947" s="83"/>
      <c r="I947" s="83"/>
      <c r="J947" s="83"/>
      <c r="K947" s="83"/>
      <c r="L947" s="83"/>
      <c r="M947" s="83"/>
      <c r="N947" s="83"/>
      <c r="O947" s="83"/>
      <c r="P947" s="83"/>
      <c r="Q947" s="83"/>
      <c r="R947" s="83"/>
      <c r="S947" s="83"/>
      <c r="T947" s="83"/>
      <c r="U947" s="83"/>
      <c r="V947" s="83"/>
      <c r="W947" s="83"/>
      <c r="X947" s="83"/>
      <c r="Y947" s="83"/>
      <c r="Z947" s="83"/>
    </row>
    <row r="948" ht="14.25" customHeight="1" spans="1:26" x14ac:dyDescent="0.25">
      <c r="A948" s="83"/>
      <c r="B948" s="83"/>
      <c r="C948" s="83"/>
      <c r="D948" s="83"/>
      <c r="E948" s="83"/>
      <c r="F948" s="83"/>
      <c r="G948" s="83"/>
      <c r="H948" s="83"/>
      <c r="I948" s="83"/>
      <c r="J948" s="83"/>
      <c r="K948" s="83"/>
      <c r="L948" s="83"/>
      <c r="M948" s="83"/>
      <c r="N948" s="83"/>
      <c r="O948" s="83"/>
      <c r="P948" s="83"/>
      <c r="Q948" s="83"/>
      <c r="R948" s="83"/>
      <c r="S948" s="83"/>
      <c r="T948" s="83"/>
      <c r="U948" s="83"/>
      <c r="V948" s="83"/>
      <c r="W948" s="83"/>
      <c r="X948" s="83"/>
      <c r="Y948" s="83"/>
      <c r="Z948" s="83"/>
    </row>
    <row r="949" ht="14.25" customHeight="1" spans="1:26" x14ac:dyDescent="0.25">
      <c r="A949" s="83"/>
      <c r="B949" s="83"/>
      <c r="C949" s="83"/>
      <c r="D949" s="83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  <c r="X949" s="83"/>
      <c r="Y949" s="83"/>
      <c r="Z949" s="83"/>
    </row>
    <row r="950" ht="14.25" customHeight="1" spans="1:26" x14ac:dyDescent="0.25">
      <c r="A950" s="83"/>
      <c r="B950" s="83"/>
      <c r="C950" s="83"/>
      <c r="D950" s="83"/>
      <c r="E950" s="83"/>
      <c r="F950" s="83"/>
      <c r="G950" s="83"/>
      <c r="H950" s="83"/>
      <c r="I950" s="83"/>
      <c r="J950" s="83"/>
      <c r="K950" s="83"/>
      <c r="L950" s="83"/>
      <c r="M950" s="83"/>
      <c r="N950" s="83"/>
      <c r="O950" s="83"/>
      <c r="P950" s="83"/>
      <c r="Q950" s="83"/>
      <c r="R950" s="83"/>
      <c r="S950" s="83"/>
      <c r="T950" s="83"/>
      <c r="U950" s="83"/>
      <c r="V950" s="83"/>
      <c r="W950" s="83"/>
      <c r="X950" s="83"/>
      <c r="Y950" s="83"/>
      <c r="Z950" s="83"/>
    </row>
    <row r="951" ht="14.25" customHeight="1" spans="1:26" x14ac:dyDescent="0.25">
      <c r="A951" s="83"/>
      <c r="B951" s="83"/>
      <c r="C951" s="83"/>
      <c r="D951" s="83"/>
      <c r="E951" s="83"/>
      <c r="F951" s="83"/>
      <c r="G951" s="83"/>
      <c r="H951" s="83"/>
      <c r="I951" s="83"/>
      <c r="J951" s="83"/>
      <c r="K951" s="83"/>
      <c r="L951" s="83"/>
      <c r="M951" s="83"/>
      <c r="N951" s="83"/>
      <c r="O951" s="83"/>
      <c r="P951" s="83"/>
      <c r="Q951" s="83"/>
      <c r="R951" s="83"/>
      <c r="S951" s="83"/>
      <c r="T951" s="83"/>
      <c r="U951" s="83"/>
      <c r="V951" s="83"/>
      <c r="W951" s="83"/>
      <c r="X951" s="83"/>
      <c r="Y951" s="83"/>
      <c r="Z951" s="83"/>
    </row>
    <row r="952" ht="14.25" customHeight="1" spans="1:26" x14ac:dyDescent="0.25">
      <c r="A952" s="83"/>
      <c r="B952" s="83"/>
      <c r="C952" s="83"/>
      <c r="D952" s="83"/>
      <c r="E952" s="83"/>
      <c r="F952" s="83"/>
      <c r="G952" s="83"/>
      <c r="H952" s="83"/>
      <c r="I952" s="83"/>
      <c r="J952" s="83"/>
      <c r="K952" s="83"/>
      <c r="L952" s="83"/>
      <c r="M952" s="83"/>
      <c r="N952" s="83"/>
      <c r="O952" s="83"/>
      <c r="P952" s="83"/>
      <c r="Q952" s="83"/>
      <c r="R952" s="83"/>
      <c r="S952" s="83"/>
      <c r="T952" s="83"/>
      <c r="U952" s="83"/>
      <c r="V952" s="83"/>
      <c r="W952" s="83"/>
      <c r="X952" s="83"/>
      <c r="Y952" s="83"/>
      <c r="Z952" s="83"/>
    </row>
    <row r="953" ht="14.25" customHeight="1" spans="1:26" x14ac:dyDescent="0.25">
      <c r="A953" s="83"/>
      <c r="B953" s="83"/>
      <c r="C953" s="83"/>
      <c r="D953" s="83"/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83"/>
      <c r="U953" s="83"/>
      <c r="V953" s="83"/>
      <c r="W953" s="83"/>
      <c r="X953" s="83"/>
      <c r="Y953" s="83"/>
      <c r="Z953" s="83"/>
    </row>
    <row r="954" ht="14.25" customHeight="1" spans="1:26" x14ac:dyDescent="0.25">
      <c r="A954" s="83"/>
      <c r="B954" s="83"/>
      <c r="C954" s="83"/>
      <c r="D954" s="83"/>
      <c r="E954" s="83"/>
      <c r="F954" s="83"/>
      <c r="G954" s="83"/>
      <c r="H954" s="83"/>
      <c r="I954" s="83"/>
      <c r="J954" s="83"/>
      <c r="K954" s="83"/>
      <c r="L954" s="83"/>
      <c r="M954" s="83"/>
      <c r="N954" s="83"/>
      <c r="O954" s="83"/>
      <c r="P954" s="83"/>
      <c r="Q954" s="83"/>
      <c r="R954" s="83"/>
      <c r="S954" s="83"/>
      <c r="T954" s="83"/>
      <c r="U954" s="83"/>
      <c r="V954" s="83"/>
      <c r="W954" s="83"/>
      <c r="X954" s="83"/>
      <c r="Y954" s="83"/>
      <c r="Z954" s="83"/>
    </row>
    <row r="955" ht="14.25" customHeight="1" spans="1:26" x14ac:dyDescent="0.25">
      <c r="A955" s="83"/>
      <c r="B955" s="83"/>
      <c r="C955" s="83"/>
      <c r="D955" s="83"/>
      <c r="E955" s="83"/>
      <c r="F955" s="83"/>
      <c r="G955" s="83"/>
      <c r="H955" s="83"/>
      <c r="I955" s="83"/>
      <c r="J955" s="83"/>
      <c r="K955" s="83"/>
      <c r="L955" s="83"/>
      <c r="M955" s="83"/>
      <c r="N955" s="83"/>
      <c r="O955" s="83"/>
      <c r="P955" s="83"/>
      <c r="Q955" s="83"/>
      <c r="R955" s="83"/>
      <c r="S955" s="83"/>
      <c r="T955" s="83"/>
      <c r="U955" s="83"/>
      <c r="V955" s="83"/>
      <c r="W955" s="83"/>
      <c r="X955" s="83"/>
      <c r="Y955" s="83"/>
      <c r="Z955" s="83"/>
    </row>
    <row r="956" ht="14.25" customHeight="1" spans="1:26" x14ac:dyDescent="0.25">
      <c r="A956" s="83"/>
      <c r="B956" s="83"/>
      <c r="C956" s="83"/>
      <c r="D956" s="83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  <c r="X956" s="83"/>
      <c r="Y956" s="83"/>
      <c r="Z956" s="83"/>
    </row>
    <row r="957" ht="14.25" customHeight="1" spans="1:26" x14ac:dyDescent="0.25">
      <c r="A957" s="83"/>
      <c r="B957" s="83"/>
      <c r="C957" s="83"/>
      <c r="D957" s="83"/>
      <c r="E957" s="83"/>
      <c r="F957" s="83"/>
      <c r="G957" s="83"/>
      <c r="H957" s="83"/>
      <c r="I957" s="83"/>
      <c r="J957" s="83"/>
      <c r="K957" s="83"/>
      <c r="L957" s="83"/>
      <c r="M957" s="83"/>
      <c r="N957" s="83"/>
      <c r="O957" s="83"/>
      <c r="P957" s="83"/>
      <c r="Q957" s="83"/>
      <c r="R957" s="83"/>
      <c r="S957" s="83"/>
      <c r="T957" s="83"/>
      <c r="U957" s="83"/>
      <c r="V957" s="83"/>
      <c r="W957" s="83"/>
      <c r="X957" s="83"/>
      <c r="Y957" s="83"/>
      <c r="Z957" s="83"/>
    </row>
    <row r="958" ht="14.25" customHeight="1" spans="1:26" x14ac:dyDescent="0.25">
      <c r="A958" s="83"/>
      <c r="B958" s="83"/>
      <c r="C958" s="83"/>
      <c r="D958" s="83"/>
      <c r="E958" s="83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T958" s="83"/>
      <c r="U958" s="83"/>
      <c r="V958" s="83"/>
      <c r="W958" s="83"/>
      <c r="X958" s="83"/>
      <c r="Y958" s="83"/>
      <c r="Z958" s="83"/>
    </row>
    <row r="959" ht="14.25" customHeight="1" spans="1:26" x14ac:dyDescent="0.25">
      <c r="A959" s="83"/>
      <c r="B959" s="83"/>
      <c r="C959" s="83"/>
      <c r="D959" s="83"/>
      <c r="E959" s="83"/>
      <c r="F959" s="83"/>
      <c r="G959" s="83"/>
      <c r="H959" s="83"/>
      <c r="I959" s="83"/>
      <c r="J959" s="83"/>
      <c r="K959" s="83"/>
      <c r="L959" s="83"/>
      <c r="M959" s="83"/>
      <c r="N959" s="83"/>
      <c r="O959" s="83"/>
      <c r="P959" s="83"/>
      <c r="Q959" s="83"/>
      <c r="R959" s="83"/>
      <c r="S959" s="83"/>
      <c r="T959" s="83"/>
      <c r="U959" s="83"/>
      <c r="V959" s="83"/>
      <c r="W959" s="83"/>
      <c r="X959" s="83"/>
      <c r="Y959" s="83"/>
      <c r="Z959" s="83"/>
    </row>
    <row r="960" ht="14.25" customHeight="1" spans="1:26" x14ac:dyDescent="0.25">
      <c r="A960" s="83"/>
      <c r="B960" s="83"/>
      <c r="C960" s="83"/>
      <c r="D960" s="83"/>
      <c r="E960" s="83"/>
      <c r="F960" s="83"/>
      <c r="G960" s="83"/>
      <c r="H960" s="83"/>
      <c r="I960" s="83"/>
      <c r="J960" s="83"/>
      <c r="K960" s="83"/>
      <c r="L960" s="83"/>
      <c r="M960" s="83"/>
      <c r="N960" s="83"/>
      <c r="O960" s="83"/>
      <c r="P960" s="83"/>
      <c r="Q960" s="83"/>
      <c r="R960" s="83"/>
      <c r="S960" s="83"/>
      <c r="T960" s="83"/>
      <c r="U960" s="83"/>
      <c r="V960" s="83"/>
      <c r="W960" s="83"/>
      <c r="X960" s="83"/>
      <c r="Y960" s="83"/>
      <c r="Z960" s="83"/>
    </row>
    <row r="961" ht="14.25" customHeight="1" spans="1:26" x14ac:dyDescent="0.25">
      <c r="A961" s="83"/>
      <c r="B961" s="83"/>
      <c r="C961" s="83"/>
      <c r="D961" s="83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3"/>
      <c r="X961" s="83"/>
      <c r="Y961" s="83"/>
      <c r="Z961" s="83"/>
    </row>
    <row r="962" ht="14.25" customHeight="1" spans="1:26" x14ac:dyDescent="0.25">
      <c r="A962" s="83"/>
      <c r="B962" s="83"/>
      <c r="C962" s="83"/>
      <c r="D962" s="83"/>
      <c r="E962" s="83"/>
      <c r="F962" s="83"/>
      <c r="G962" s="83"/>
      <c r="H962" s="83"/>
      <c r="I962" s="83"/>
      <c r="J962" s="83"/>
      <c r="K962" s="83"/>
      <c r="L962" s="83"/>
      <c r="M962" s="83"/>
      <c r="N962" s="83"/>
      <c r="O962" s="83"/>
      <c r="P962" s="83"/>
      <c r="Q962" s="83"/>
      <c r="R962" s="83"/>
      <c r="S962" s="83"/>
      <c r="T962" s="83"/>
      <c r="U962" s="83"/>
      <c r="V962" s="83"/>
      <c r="W962" s="83"/>
      <c r="X962" s="83"/>
      <c r="Y962" s="83"/>
      <c r="Z962" s="83"/>
    </row>
    <row r="963" ht="14.25" customHeight="1" spans="1:26" x14ac:dyDescent="0.25">
      <c r="A963" s="83"/>
      <c r="B963" s="83"/>
      <c r="C963" s="83"/>
      <c r="D963" s="83"/>
      <c r="E963" s="83"/>
      <c r="F963" s="83"/>
      <c r="G963" s="83"/>
      <c r="H963" s="83"/>
      <c r="I963" s="83"/>
      <c r="J963" s="83"/>
      <c r="K963" s="83"/>
      <c r="L963" s="83"/>
      <c r="M963" s="83"/>
      <c r="N963" s="83"/>
      <c r="O963" s="83"/>
      <c r="P963" s="83"/>
      <c r="Q963" s="83"/>
      <c r="R963" s="83"/>
      <c r="S963" s="83"/>
      <c r="T963" s="83"/>
      <c r="U963" s="83"/>
      <c r="V963" s="83"/>
      <c r="W963" s="83"/>
      <c r="X963" s="83"/>
      <c r="Y963" s="83"/>
      <c r="Z963" s="83"/>
    </row>
    <row r="964" ht="14.25" customHeight="1" spans="1:26" x14ac:dyDescent="0.25">
      <c r="A964" s="83"/>
      <c r="B964" s="83"/>
      <c r="C964" s="83"/>
      <c r="D964" s="83"/>
      <c r="E964" s="83"/>
      <c r="F964" s="83"/>
      <c r="G964" s="83"/>
      <c r="H964" s="83"/>
      <c r="I964" s="83"/>
      <c r="J964" s="83"/>
      <c r="K964" s="83"/>
      <c r="L964" s="83"/>
      <c r="M964" s="83"/>
      <c r="N964" s="83"/>
      <c r="O964" s="83"/>
      <c r="P964" s="83"/>
      <c r="Q964" s="83"/>
      <c r="R964" s="83"/>
      <c r="S964" s="83"/>
      <c r="T964" s="83"/>
      <c r="U964" s="83"/>
      <c r="V964" s="83"/>
      <c r="W964" s="83"/>
      <c r="X964" s="83"/>
      <c r="Y964" s="83"/>
      <c r="Z964" s="83"/>
    </row>
    <row r="965" ht="14.25" customHeight="1" spans="1:26" x14ac:dyDescent="0.25">
      <c r="A965" s="83"/>
      <c r="B965" s="83"/>
      <c r="C965" s="83"/>
      <c r="D965" s="83"/>
      <c r="E965" s="83"/>
      <c r="F965" s="83"/>
      <c r="G965" s="83"/>
      <c r="H965" s="83"/>
      <c r="I965" s="83"/>
      <c r="J965" s="83"/>
      <c r="K965" s="83"/>
      <c r="L965" s="83"/>
      <c r="M965" s="83"/>
      <c r="N965" s="83"/>
      <c r="O965" s="83"/>
      <c r="P965" s="83"/>
      <c r="Q965" s="83"/>
      <c r="R965" s="83"/>
      <c r="S965" s="83"/>
      <c r="T965" s="83"/>
      <c r="U965" s="83"/>
      <c r="V965" s="83"/>
      <c r="W965" s="83"/>
      <c r="X965" s="83"/>
      <c r="Y965" s="83"/>
      <c r="Z965" s="83"/>
    </row>
    <row r="966" ht="14.25" customHeight="1" spans="1:26" x14ac:dyDescent="0.25">
      <c r="A966" s="83"/>
      <c r="B966" s="83"/>
      <c r="C966" s="83"/>
      <c r="D966" s="83"/>
      <c r="E966" s="83"/>
      <c r="F966" s="83"/>
      <c r="G966" s="83"/>
      <c r="H966" s="83"/>
      <c r="I966" s="83"/>
      <c r="J966" s="83"/>
      <c r="K966" s="83"/>
      <c r="L966" s="83"/>
      <c r="M966" s="83"/>
      <c r="N966" s="83"/>
      <c r="O966" s="83"/>
      <c r="P966" s="83"/>
      <c r="Q966" s="83"/>
      <c r="R966" s="83"/>
      <c r="S966" s="83"/>
      <c r="T966" s="83"/>
      <c r="U966" s="83"/>
      <c r="V966" s="83"/>
      <c r="W966" s="83"/>
      <c r="X966" s="83"/>
      <c r="Y966" s="83"/>
      <c r="Z966" s="83"/>
    </row>
    <row r="967" ht="14.25" customHeight="1" spans="1:26" x14ac:dyDescent="0.25">
      <c r="A967" s="83"/>
      <c r="B967" s="83"/>
      <c r="C967" s="83"/>
      <c r="D967" s="83"/>
      <c r="E967" s="83"/>
      <c r="F967" s="83"/>
      <c r="G967" s="83"/>
      <c r="H967" s="83"/>
      <c r="I967" s="83"/>
      <c r="J967" s="83"/>
      <c r="K967" s="83"/>
      <c r="L967" s="83"/>
      <c r="M967" s="83"/>
      <c r="N967" s="83"/>
      <c r="O967" s="83"/>
      <c r="P967" s="83"/>
      <c r="Q967" s="83"/>
      <c r="R967" s="83"/>
      <c r="S967" s="83"/>
      <c r="T967" s="83"/>
      <c r="U967" s="83"/>
      <c r="V967" s="83"/>
      <c r="W967" s="83"/>
      <c r="X967" s="83"/>
      <c r="Y967" s="83"/>
      <c r="Z967" s="83"/>
    </row>
    <row r="968" ht="14.25" customHeight="1" spans="1:26" x14ac:dyDescent="0.25">
      <c r="A968" s="83"/>
      <c r="B968" s="83"/>
      <c r="C968" s="83"/>
      <c r="D968" s="83"/>
      <c r="E968" s="83"/>
      <c r="F968" s="83"/>
      <c r="G968" s="83"/>
      <c r="H968" s="83"/>
      <c r="I968" s="83"/>
      <c r="J968" s="83"/>
      <c r="K968" s="83"/>
      <c r="L968" s="83"/>
      <c r="M968" s="83"/>
      <c r="N968" s="83"/>
      <c r="O968" s="83"/>
      <c r="P968" s="83"/>
      <c r="Q968" s="83"/>
      <c r="R968" s="83"/>
      <c r="S968" s="83"/>
      <c r="T968" s="83"/>
      <c r="U968" s="83"/>
      <c r="V968" s="83"/>
      <c r="W968" s="83"/>
      <c r="X968" s="83"/>
      <c r="Y968" s="83"/>
      <c r="Z968" s="83"/>
    </row>
    <row r="969" ht="14.25" customHeight="1" spans="1:26" x14ac:dyDescent="0.25">
      <c r="A969" s="83"/>
      <c r="B969" s="83"/>
      <c r="C969" s="83"/>
      <c r="D969" s="83"/>
      <c r="E969" s="83"/>
      <c r="F969" s="83"/>
      <c r="G969" s="83"/>
      <c r="H969" s="83"/>
      <c r="I969" s="83"/>
      <c r="J969" s="83"/>
      <c r="K969" s="83"/>
      <c r="L969" s="83"/>
      <c r="M969" s="83"/>
      <c r="N969" s="83"/>
      <c r="O969" s="83"/>
      <c r="P969" s="83"/>
      <c r="Q969" s="83"/>
      <c r="R969" s="83"/>
      <c r="S969" s="83"/>
      <c r="T969" s="83"/>
      <c r="U969" s="83"/>
      <c r="V969" s="83"/>
      <c r="W969" s="83"/>
      <c r="X969" s="83"/>
      <c r="Y969" s="83"/>
      <c r="Z969" s="83"/>
    </row>
    <row r="970" ht="14.25" customHeight="1" spans="1:26" x14ac:dyDescent="0.25">
      <c r="A970" s="83"/>
      <c r="B970" s="83"/>
      <c r="C970" s="83"/>
      <c r="D970" s="83"/>
      <c r="E970" s="83"/>
      <c r="F970" s="83"/>
      <c r="G970" s="83"/>
      <c r="H970" s="83"/>
      <c r="I970" s="83"/>
      <c r="J970" s="83"/>
      <c r="K970" s="83"/>
      <c r="L970" s="83"/>
      <c r="M970" s="83"/>
      <c r="N970" s="83"/>
      <c r="O970" s="83"/>
      <c r="P970" s="83"/>
      <c r="Q970" s="83"/>
      <c r="R970" s="83"/>
      <c r="S970" s="83"/>
      <c r="T970" s="83"/>
      <c r="U970" s="83"/>
      <c r="V970" s="83"/>
      <c r="W970" s="83"/>
      <c r="X970" s="83"/>
      <c r="Y970" s="83"/>
      <c r="Z970" s="83"/>
    </row>
    <row r="971" ht="14.25" customHeight="1" spans="1:26" x14ac:dyDescent="0.25">
      <c r="A971" s="83"/>
      <c r="B971" s="83"/>
      <c r="C971" s="83"/>
      <c r="D971" s="83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  <c r="R971" s="83"/>
      <c r="S971" s="83"/>
      <c r="T971" s="83"/>
      <c r="U971" s="83"/>
      <c r="V971" s="83"/>
      <c r="W971" s="83"/>
      <c r="X971" s="83"/>
      <c r="Y971" s="83"/>
      <c r="Z971" s="83"/>
    </row>
    <row r="972" ht="14.25" customHeight="1" spans="1:26" x14ac:dyDescent="0.25">
      <c r="A972" s="83"/>
      <c r="B972" s="83"/>
      <c r="C972" s="83"/>
      <c r="D972" s="83"/>
      <c r="E972" s="83"/>
      <c r="F972" s="83"/>
      <c r="G972" s="83"/>
      <c r="H972" s="83"/>
      <c r="I972" s="83"/>
      <c r="J972" s="83"/>
      <c r="K972" s="83"/>
      <c r="L972" s="83"/>
      <c r="M972" s="83"/>
      <c r="N972" s="83"/>
      <c r="O972" s="83"/>
      <c r="P972" s="83"/>
      <c r="Q972" s="83"/>
      <c r="R972" s="83"/>
      <c r="S972" s="83"/>
      <c r="T972" s="83"/>
      <c r="U972" s="83"/>
      <c r="V972" s="83"/>
      <c r="W972" s="83"/>
      <c r="X972" s="83"/>
      <c r="Y972" s="83"/>
      <c r="Z972" s="83"/>
    </row>
    <row r="973" ht="14.25" customHeight="1" spans="1:26" x14ac:dyDescent="0.25">
      <c r="A973" s="83"/>
      <c r="B973" s="83"/>
      <c r="C973" s="83"/>
      <c r="D973" s="83"/>
      <c r="E973" s="83"/>
      <c r="F973" s="83"/>
      <c r="G973" s="83"/>
      <c r="H973" s="83"/>
      <c r="I973" s="83"/>
      <c r="J973" s="83"/>
      <c r="K973" s="83"/>
      <c r="L973" s="83"/>
      <c r="M973" s="83"/>
      <c r="N973" s="83"/>
      <c r="O973" s="83"/>
      <c r="P973" s="83"/>
      <c r="Q973" s="83"/>
      <c r="R973" s="83"/>
      <c r="S973" s="83"/>
      <c r="T973" s="83"/>
      <c r="U973" s="83"/>
      <c r="V973" s="83"/>
      <c r="W973" s="83"/>
      <c r="X973" s="83"/>
      <c r="Y973" s="83"/>
      <c r="Z973" s="83"/>
    </row>
    <row r="974" ht="14.25" customHeight="1" spans="1:26" x14ac:dyDescent="0.25">
      <c r="A974" s="83"/>
      <c r="B974" s="83"/>
      <c r="C974" s="83"/>
      <c r="D974" s="83"/>
      <c r="E974" s="83"/>
      <c r="F974" s="83"/>
      <c r="G974" s="83"/>
      <c r="H974" s="83"/>
      <c r="I974" s="83"/>
      <c r="J974" s="83"/>
      <c r="K974" s="83"/>
      <c r="L974" s="83"/>
      <c r="M974" s="83"/>
      <c r="N974" s="83"/>
      <c r="O974" s="83"/>
      <c r="P974" s="83"/>
      <c r="Q974" s="83"/>
      <c r="R974" s="83"/>
      <c r="S974" s="83"/>
      <c r="T974" s="83"/>
      <c r="U974" s="83"/>
      <c r="V974" s="83"/>
      <c r="W974" s="83"/>
      <c r="X974" s="83"/>
      <c r="Y974" s="83"/>
      <c r="Z974" s="83"/>
    </row>
    <row r="975" ht="14.25" customHeight="1" spans="1:26" x14ac:dyDescent="0.25">
      <c r="A975" s="83"/>
      <c r="B975" s="83"/>
      <c r="C975" s="83"/>
      <c r="D975" s="83"/>
      <c r="E975" s="83"/>
      <c r="F975" s="83"/>
      <c r="G975" s="83"/>
      <c r="H975" s="83"/>
      <c r="I975" s="83"/>
      <c r="J975" s="83"/>
      <c r="K975" s="83"/>
      <c r="L975" s="83"/>
      <c r="M975" s="83"/>
      <c r="N975" s="83"/>
      <c r="O975" s="83"/>
      <c r="P975" s="83"/>
      <c r="Q975" s="83"/>
      <c r="R975" s="83"/>
      <c r="S975" s="83"/>
      <c r="T975" s="83"/>
      <c r="U975" s="83"/>
      <c r="V975" s="83"/>
      <c r="W975" s="83"/>
      <c r="X975" s="83"/>
      <c r="Y975" s="83"/>
      <c r="Z975" s="83"/>
    </row>
    <row r="976" ht="14.25" customHeight="1" spans="1:26" x14ac:dyDescent="0.25">
      <c r="A976" s="83"/>
      <c r="B976" s="83"/>
      <c r="C976" s="83"/>
      <c r="D976" s="83"/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83"/>
      <c r="U976" s="83"/>
      <c r="V976" s="83"/>
      <c r="W976" s="83"/>
      <c r="X976" s="83"/>
      <c r="Y976" s="83"/>
      <c r="Z976" s="83"/>
    </row>
    <row r="977" ht="14.25" customHeight="1" spans="1:26" x14ac:dyDescent="0.25">
      <c r="A977" s="83"/>
      <c r="B977" s="83"/>
      <c r="C977" s="83"/>
      <c r="D977" s="83"/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  <c r="R977" s="83"/>
      <c r="S977" s="83"/>
      <c r="T977" s="83"/>
      <c r="U977" s="83"/>
      <c r="V977" s="83"/>
      <c r="W977" s="83"/>
      <c r="X977" s="83"/>
      <c r="Y977" s="83"/>
      <c r="Z977" s="83"/>
    </row>
    <row r="978" ht="14.25" customHeight="1" spans="1:26" x14ac:dyDescent="0.25">
      <c r="A978" s="83"/>
      <c r="B978" s="83"/>
      <c r="C978" s="83"/>
      <c r="D978" s="83"/>
      <c r="E978" s="83"/>
      <c r="F978" s="83"/>
      <c r="G978" s="83"/>
      <c r="H978" s="83"/>
      <c r="I978" s="83"/>
      <c r="J978" s="83"/>
      <c r="K978" s="83"/>
      <c r="L978" s="83"/>
      <c r="M978" s="83"/>
      <c r="N978" s="83"/>
      <c r="O978" s="83"/>
      <c r="P978" s="83"/>
      <c r="Q978" s="83"/>
      <c r="R978" s="83"/>
      <c r="S978" s="83"/>
      <c r="T978" s="83"/>
      <c r="U978" s="83"/>
      <c r="V978" s="83"/>
      <c r="W978" s="83"/>
      <c r="X978" s="83"/>
      <c r="Y978" s="83"/>
      <c r="Z978" s="83"/>
    </row>
    <row r="979" ht="14.25" customHeight="1" spans="1:26" x14ac:dyDescent="0.25">
      <c r="A979" s="83"/>
      <c r="B979" s="83"/>
      <c r="C979" s="83"/>
      <c r="D979" s="83"/>
      <c r="E979" s="83"/>
      <c r="F979" s="83"/>
      <c r="G979" s="83"/>
      <c r="H979" s="83"/>
      <c r="I979" s="83"/>
      <c r="J979" s="83"/>
      <c r="K979" s="83"/>
      <c r="L979" s="83"/>
      <c r="M979" s="83"/>
      <c r="N979" s="83"/>
      <c r="O979" s="83"/>
      <c r="P979" s="83"/>
      <c r="Q979" s="83"/>
      <c r="R979" s="83"/>
      <c r="S979" s="83"/>
      <c r="T979" s="83"/>
      <c r="U979" s="83"/>
      <c r="V979" s="83"/>
      <c r="W979" s="83"/>
      <c r="X979" s="83"/>
      <c r="Y979" s="83"/>
      <c r="Z979" s="83"/>
    </row>
    <row r="980" ht="14.25" customHeight="1" spans="1:26" x14ac:dyDescent="0.25">
      <c r="A980" s="83"/>
      <c r="B980" s="83"/>
      <c r="C980" s="83"/>
      <c r="D980" s="83"/>
      <c r="E980" s="83"/>
      <c r="F980" s="83"/>
      <c r="G980" s="83"/>
      <c r="H980" s="83"/>
      <c r="I980" s="83"/>
      <c r="J980" s="83"/>
      <c r="K980" s="83"/>
      <c r="L980" s="83"/>
      <c r="M980" s="83"/>
      <c r="N980" s="83"/>
      <c r="O980" s="83"/>
      <c r="P980" s="83"/>
      <c r="Q980" s="83"/>
      <c r="R980" s="83"/>
      <c r="S980" s="83"/>
      <c r="T980" s="83"/>
      <c r="U980" s="83"/>
      <c r="V980" s="83"/>
      <c r="W980" s="83"/>
      <c r="X980" s="83"/>
      <c r="Y980" s="83"/>
      <c r="Z980" s="83"/>
    </row>
    <row r="981" ht="14.25" customHeight="1" spans="1:26" x14ac:dyDescent="0.25">
      <c r="A981" s="83"/>
      <c r="B981" s="83"/>
      <c r="C981" s="83"/>
      <c r="D981" s="83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83"/>
      <c r="U981" s="83"/>
      <c r="V981" s="83"/>
      <c r="W981" s="83"/>
      <c r="X981" s="83"/>
      <c r="Y981" s="83"/>
      <c r="Z981" s="83"/>
    </row>
    <row r="982" ht="14.25" customHeight="1" spans="1:26" x14ac:dyDescent="0.25">
      <c r="A982" s="83"/>
      <c r="B982" s="83"/>
      <c r="C982" s="83"/>
      <c r="D982" s="83"/>
      <c r="E982" s="83"/>
      <c r="F982" s="83"/>
      <c r="G982" s="83"/>
      <c r="H982" s="83"/>
      <c r="I982" s="83"/>
      <c r="J982" s="83"/>
      <c r="K982" s="83"/>
      <c r="L982" s="83"/>
      <c r="M982" s="83"/>
      <c r="N982" s="83"/>
      <c r="O982" s="83"/>
      <c r="P982" s="83"/>
      <c r="Q982" s="83"/>
      <c r="R982" s="83"/>
      <c r="S982" s="83"/>
      <c r="T982" s="83"/>
      <c r="U982" s="83"/>
      <c r="V982" s="83"/>
      <c r="W982" s="83"/>
      <c r="X982" s="83"/>
      <c r="Y982" s="83"/>
      <c r="Z982" s="83"/>
    </row>
    <row r="983" ht="14.25" customHeight="1" spans="1:26" x14ac:dyDescent="0.25">
      <c r="A983" s="83"/>
      <c r="B983" s="83"/>
      <c r="C983" s="83"/>
      <c r="D983" s="83"/>
      <c r="E983" s="83"/>
      <c r="F983" s="83"/>
      <c r="G983" s="83"/>
      <c r="H983" s="83"/>
      <c r="I983" s="83"/>
      <c r="J983" s="83"/>
      <c r="K983" s="83"/>
      <c r="L983" s="83"/>
      <c r="M983" s="83"/>
      <c r="N983" s="83"/>
      <c r="O983" s="83"/>
      <c r="P983" s="83"/>
      <c r="Q983" s="83"/>
      <c r="R983" s="83"/>
      <c r="S983" s="83"/>
      <c r="T983" s="83"/>
      <c r="U983" s="83"/>
      <c r="V983" s="83"/>
      <c r="W983" s="83"/>
      <c r="X983" s="83"/>
      <c r="Y983" s="83"/>
      <c r="Z983" s="83"/>
    </row>
    <row r="984" ht="14.25" customHeight="1" spans="1:26" x14ac:dyDescent="0.25">
      <c r="A984" s="83"/>
      <c r="B984" s="83"/>
      <c r="C984" s="83"/>
      <c r="D984" s="83"/>
      <c r="E984" s="83"/>
      <c r="F984" s="83"/>
      <c r="G984" s="83"/>
      <c r="H984" s="83"/>
      <c r="I984" s="83"/>
      <c r="J984" s="83"/>
      <c r="K984" s="83"/>
      <c r="L984" s="83"/>
      <c r="M984" s="83"/>
      <c r="N984" s="83"/>
      <c r="O984" s="83"/>
      <c r="P984" s="83"/>
      <c r="Q984" s="83"/>
      <c r="R984" s="83"/>
      <c r="S984" s="83"/>
      <c r="T984" s="83"/>
      <c r="U984" s="83"/>
      <c r="V984" s="83"/>
      <c r="W984" s="83"/>
      <c r="X984" s="83"/>
      <c r="Y984" s="83"/>
      <c r="Z984" s="83"/>
    </row>
    <row r="985" ht="14.25" customHeight="1" spans="1:26" x14ac:dyDescent="0.25">
      <c r="A985" s="83"/>
      <c r="B985" s="83"/>
      <c r="C985" s="83"/>
      <c r="D985" s="83"/>
      <c r="E985" s="83"/>
      <c r="F985" s="83"/>
      <c r="G985" s="83"/>
      <c r="H985" s="83"/>
      <c r="I985" s="83"/>
      <c r="J985" s="83"/>
      <c r="K985" s="83"/>
      <c r="L985" s="83"/>
      <c r="M985" s="83"/>
      <c r="N985" s="83"/>
      <c r="O985" s="83"/>
      <c r="P985" s="83"/>
      <c r="Q985" s="83"/>
      <c r="R985" s="83"/>
      <c r="S985" s="83"/>
      <c r="T985" s="83"/>
      <c r="U985" s="83"/>
      <c r="V985" s="83"/>
      <c r="W985" s="83"/>
      <c r="X985" s="83"/>
      <c r="Y985" s="83"/>
      <c r="Z985" s="83"/>
    </row>
    <row r="986" ht="14.25" customHeight="1" spans="1:26" x14ac:dyDescent="0.25">
      <c r="A986" s="83"/>
      <c r="B986" s="83"/>
      <c r="C986" s="83"/>
      <c r="D986" s="83"/>
      <c r="E986" s="83"/>
      <c r="F986" s="83"/>
      <c r="G986" s="83"/>
      <c r="H986" s="83"/>
      <c r="I986" s="83"/>
      <c r="J986" s="83"/>
      <c r="K986" s="83"/>
      <c r="L986" s="83"/>
      <c r="M986" s="83"/>
      <c r="N986" s="83"/>
      <c r="O986" s="83"/>
      <c r="P986" s="83"/>
      <c r="Q986" s="83"/>
      <c r="R986" s="83"/>
      <c r="S986" s="83"/>
      <c r="T986" s="83"/>
      <c r="U986" s="83"/>
      <c r="V986" s="83"/>
      <c r="W986" s="83"/>
      <c r="X986" s="83"/>
      <c r="Y986" s="83"/>
      <c r="Z986" s="83"/>
    </row>
    <row r="987" ht="14.25" customHeight="1" spans="1:26" x14ac:dyDescent="0.25">
      <c r="A987" s="83"/>
      <c r="B987" s="83"/>
      <c r="C987" s="83"/>
      <c r="D987" s="83"/>
      <c r="E987" s="83"/>
      <c r="F987" s="83"/>
      <c r="G987" s="83"/>
      <c r="H987" s="83"/>
      <c r="I987" s="83"/>
      <c r="J987" s="83"/>
      <c r="K987" s="83"/>
      <c r="L987" s="83"/>
      <c r="M987" s="83"/>
      <c r="N987" s="83"/>
      <c r="O987" s="83"/>
      <c r="P987" s="83"/>
      <c r="Q987" s="83"/>
      <c r="R987" s="83"/>
      <c r="S987" s="83"/>
      <c r="T987" s="83"/>
      <c r="U987" s="83"/>
      <c r="V987" s="83"/>
      <c r="W987" s="83"/>
      <c r="X987" s="83"/>
      <c r="Y987" s="83"/>
      <c r="Z987" s="83"/>
    </row>
    <row r="988" ht="14.25" customHeight="1" spans="1:26" x14ac:dyDescent="0.25">
      <c r="A988" s="83"/>
      <c r="B988" s="83"/>
      <c r="C988" s="83"/>
      <c r="D988" s="83"/>
      <c r="E988" s="83"/>
      <c r="F988" s="83"/>
      <c r="G988" s="83"/>
      <c r="H988" s="83"/>
      <c r="I988" s="83"/>
      <c r="J988" s="83"/>
      <c r="K988" s="83"/>
      <c r="L988" s="83"/>
      <c r="M988" s="83"/>
      <c r="N988" s="83"/>
      <c r="O988" s="83"/>
      <c r="P988" s="83"/>
      <c r="Q988" s="83"/>
      <c r="R988" s="83"/>
      <c r="S988" s="83"/>
      <c r="T988" s="83"/>
      <c r="U988" s="83"/>
      <c r="V988" s="83"/>
      <c r="W988" s="83"/>
      <c r="X988" s="83"/>
      <c r="Y988" s="83"/>
      <c r="Z988" s="83"/>
    </row>
    <row r="989" ht="14.25" customHeight="1" spans="1:26" x14ac:dyDescent="0.25">
      <c r="A989" s="83"/>
      <c r="B989" s="83"/>
      <c r="C989" s="83"/>
      <c r="D989" s="83"/>
      <c r="E989" s="83"/>
      <c r="F989" s="83"/>
      <c r="G989" s="83"/>
      <c r="H989" s="83"/>
      <c r="I989" s="83"/>
      <c r="J989" s="83"/>
      <c r="K989" s="83"/>
      <c r="L989" s="83"/>
      <c r="M989" s="83"/>
      <c r="N989" s="83"/>
      <c r="O989" s="83"/>
      <c r="P989" s="83"/>
      <c r="Q989" s="83"/>
      <c r="R989" s="83"/>
      <c r="S989" s="83"/>
      <c r="T989" s="83"/>
      <c r="U989" s="83"/>
      <c r="V989" s="83"/>
      <c r="W989" s="83"/>
      <c r="X989" s="83"/>
      <c r="Y989" s="83"/>
      <c r="Z989" s="83"/>
    </row>
    <row r="990" ht="14.25" customHeight="1" spans="1:26" x14ac:dyDescent="0.25">
      <c r="A990" s="83"/>
      <c r="B990" s="83"/>
      <c r="C990" s="83"/>
      <c r="D990" s="83"/>
      <c r="E990" s="83"/>
      <c r="F990" s="83"/>
      <c r="G990" s="83"/>
      <c r="H990" s="83"/>
      <c r="I990" s="83"/>
      <c r="J990" s="83"/>
      <c r="K990" s="83"/>
      <c r="L990" s="83"/>
      <c r="M990" s="83"/>
      <c r="N990" s="83"/>
      <c r="O990" s="83"/>
      <c r="P990" s="83"/>
      <c r="Q990" s="83"/>
      <c r="R990" s="83"/>
      <c r="S990" s="83"/>
      <c r="T990" s="83"/>
      <c r="U990" s="83"/>
      <c r="V990" s="83"/>
      <c r="W990" s="83"/>
      <c r="X990" s="83"/>
      <c r="Y990" s="83"/>
      <c r="Z990" s="83"/>
    </row>
    <row r="991" ht="14.25" customHeight="1" spans="1:26" x14ac:dyDescent="0.25">
      <c r="A991" s="83"/>
      <c r="B991" s="83"/>
      <c r="C991" s="83"/>
      <c r="D991" s="83"/>
      <c r="E991" s="83"/>
      <c r="F991" s="83"/>
      <c r="G991" s="83"/>
      <c r="H991" s="83"/>
      <c r="I991" s="83"/>
      <c r="J991" s="83"/>
      <c r="K991" s="83"/>
      <c r="L991" s="83"/>
      <c r="M991" s="83"/>
      <c r="N991" s="83"/>
      <c r="O991" s="83"/>
      <c r="P991" s="83"/>
      <c r="Q991" s="83"/>
      <c r="R991" s="83"/>
      <c r="S991" s="83"/>
      <c r="T991" s="83"/>
      <c r="U991" s="83"/>
      <c r="V991" s="83"/>
      <c r="W991" s="83"/>
      <c r="X991" s="83"/>
      <c r="Y991" s="83"/>
      <c r="Z991" s="83"/>
    </row>
    <row r="992" ht="14.25" customHeight="1" spans="1:26" x14ac:dyDescent="0.25">
      <c r="A992" s="83"/>
      <c r="B992" s="83"/>
      <c r="C992" s="83"/>
      <c r="D992" s="83"/>
      <c r="E992" s="83"/>
      <c r="F992" s="83"/>
      <c r="G992" s="83"/>
      <c r="H992" s="83"/>
      <c r="I992" s="83"/>
      <c r="J992" s="83"/>
      <c r="K992" s="83"/>
      <c r="L992" s="83"/>
      <c r="M992" s="83"/>
      <c r="N992" s="83"/>
      <c r="O992" s="83"/>
      <c r="P992" s="83"/>
      <c r="Q992" s="83"/>
      <c r="R992" s="83"/>
      <c r="S992" s="83"/>
      <c r="T992" s="83"/>
      <c r="U992" s="83"/>
      <c r="V992" s="83"/>
      <c r="W992" s="83"/>
      <c r="X992" s="83"/>
      <c r="Y992" s="83"/>
      <c r="Z992" s="83"/>
    </row>
    <row r="993" ht="14.25" customHeight="1" spans="1:26" x14ac:dyDescent="0.25">
      <c r="A993" s="83"/>
      <c r="B993" s="83"/>
      <c r="C993" s="83"/>
      <c r="D993" s="83"/>
      <c r="E993" s="83"/>
      <c r="F993" s="83"/>
      <c r="G993" s="83"/>
      <c r="H993" s="83"/>
      <c r="I993" s="83"/>
      <c r="J993" s="83"/>
      <c r="K993" s="83"/>
      <c r="L993" s="83"/>
      <c r="M993" s="83"/>
      <c r="N993" s="83"/>
      <c r="O993" s="83"/>
      <c r="P993" s="83"/>
      <c r="Q993" s="83"/>
      <c r="R993" s="83"/>
      <c r="S993" s="83"/>
      <c r="T993" s="83"/>
      <c r="U993" s="83"/>
      <c r="V993" s="83"/>
      <c r="W993" s="83"/>
      <c r="X993" s="83"/>
      <c r="Y993" s="83"/>
      <c r="Z993" s="83"/>
    </row>
    <row r="994" ht="14.25" customHeight="1" spans="1:26" x14ac:dyDescent="0.25">
      <c r="A994" s="83"/>
      <c r="B994" s="83"/>
      <c r="C994" s="83"/>
      <c r="D994" s="83"/>
      <c r="E994" s="83"/>
      <c r="F994" s="83"/>
      <c r="G994" s="83"/>
      <c r="H994" s="83"/>
      <c r="I994" s="83"/>
      <c r="J994" s="83"/>
      <c r="K994" s="83"/>
      <c r="L994" s="83"/>
      <c r="M994" s="83"/>
      <c r="N994" s="83"/>
      <c r="O994" s="83"/>
      <c r="P994" s="83"/>
      <c r="Q994" s="83"/>
      <c r="R994" s="83"/>
      <c r="S994" s="83"/>
      <c r="T994" s="83"/>
      <c r="U994" s="83"/>
      <c r="V994" s="83"/>
      <c r="W994" s="83"/>
      <c r="X994" s="83"/>
      <c r="Y994" s="83"/>
      <c r="Z994" s="83"/>
    </row>
    <row r="995" ht="14.25" customHeight="1" spans="1:26" x14ac:dyDescent="0.25">
      <c r="A995" s="83"/>
      <c r="B995" s="83"/>
      <c r="C995" s="83"/>
      <c r="D995" s="83"/>
      <c r="E995" s="83"/>
      <c r="F995" s="83"/>
      <c r="G995" s="83"/>
      <c r="H995" s="83"/>
      <c r="I995" s="83"/>
      <c r="J995" s="83"/>
      <c r="K995" s="83"/>
      <c r="L995" s="83"/>
      <c r="M995" s="83"/>
      <c r="N995" s="83"/>
      <c r="O995" s="83"/>
      <c r="P995" s="83"/>
      <c r="Q995" s="83"/>
      <c r="R995" s="83"/>
      <c r="S995" s="83"/>
      <c r="T995" s="83"/>
      <c r="U995" s="83"/>
      <c r="V995" s="83"/>
      <c r="W995" s="83"/>
      <c r="X995" s="83"/>
      <c r="Y995" s="83"/>
      <c r="Z995" s="83"/>
    </row>
    <row r="996" ht="14.25" customHeight="1" spans="1:26" x14ac:dyDescent="0.25">
      <c r="A996" s="83"/>
      <c r="B996" s="83"/>
      <c r="C996" s="83"/>
      <c r="D996" s="83"/>
      <c r="E996" s="83"/>
      <c r="F996" s="83"/>
      <c r="G996" s="83"/>
      <c r="H996" s="83"/>
      <c r="I996" s="83"/>
      <c r="J996" s="83"/>
      <c r="K996" s="83"/>
      <c r="L996" s="83"/>
      <c r="M996" s="83"/>
      <c r="N996" s="83"/>
      <c r="O996" s="83"/>
      <c r="P996" s="83"/>
      <c r="Q996" s="83"/>
      <c r="R996" s="83"/>
      <c r="S996" s="83"/>
      <c r="T996" s="83"/>
      <c r="U996" s="83"/>
      <c r="V996" s="83"/>
      <c r="W996" s="83"/>
      <c r="X996" s="83"/>
      <c r="Y996" s="83"/>
      <c r="Z996" s="83"/>
    </row>
    <row r="997" ht="14.25" customHeight="1" spans="1:26" x14ac:dyDescent="0.25">
      <c r="A997" s="83"/>
      <c r="B997" s="83"/>
      <c r="C997" s="83"/>
      <c r="D997" s="83"/>
      <c r="E997" s="83"/>
      <c r="F997" s="83"/>
      <c r="G997" s="83"/>
      <c r="H997" s="83"/>
      <c r="I997" s="83"/>
      <c r="J997" s="83"/>
      <c r="K997" s="83"/>
      <c r="L997" s="83"/>
      <c r="M997" s="83"/>
      <c r="N997" s="83"/>
      <c r="O997" s="83"/>
      <c r="P997" s="83"/>
      <c r="Q997" s="83"/>
      <c r="R997" s="83"/>
      <c r="S997" s="83"/>
      <c r="T997" s="83"/>
      <c r="U997" s="83"/>
      <c r="V997" s="83"/>
      <c r="W997" s="83"/>
      <c r="X997" s="83"/>
      <c r="Y997" s="83"/>
      <c r="Z997" s="83"/>
    </row>
    <row r="998" ht="14.25" customHeight="1" spans="1:26" x14ac:dyDescent="0.25">
      <c r="A998" s="83"/>
      <c r="B998" s="83"/>
      <c r="C998" s="83"/>
      <c r="D998" s="83"/>
      <c r="E998" s="83"/>
      <c r="F998" s="83"/>
      <c r="G998" s="83"/>
      <c r="H998" s="83"/>
      <c r="I998" s="83"/>
      <c r="J998" s="83"/>
      <c r="K998" s="83"/>
      <c r="L998" s="83"/>
      <c r="M998" s="83"/>
      <c r="N998" s="83"/>
      <c r="O998" s="83"/>
      <c r="P998" s="83"/>
      <c r="Q998" s="83"/>
      <c r="R998" s="83"/>
      <c r="S998" s="83"/>
      <c r="T998" s="83"/>
      <c r="U998" s="83"/>
      <c r="V998" s="83"/>
      <c r="W998" s="83"/>
      <c r="X998" s="83"/>
      <c r="Y998" s="83"/>
      <c r="Z998" s="83"/>
    </row>
    <row r="999" ht="14.25" customHeight="1" spans="1:26" x14ac:dyDescent="0.25">
      <c r="A999" s="83"/>
      <c r="B999" s="83"/>
      <c r="C999" s="83"/>
      <c r="D999" s="83"/>
      <c r="E999" s="83"/>
      <c r="F999" s="83"/>
      <c r="G999" s="83"/>
      <c r="H999" s="83"/>
      <c r="I999" s="83"/>
      <c r="J999" s="83"/>
      <c r="K999" s="83"/>
      <c r="L999" s="83"/>
      <c r="M999" s="83"/>
      <c r="N999" s="83"/>
      <c r="O999" s="83"/>
      <c r="P999" s="83"/>
      <c r="Q999" s="83"/>
      <c r="R999" s="83"/>
      <c r="S999" s="83"/>
      <c r="T999" s="83"/>
      <c r="U999" s="83"/>
      <c r="V999" s="83"/>
      <c r="W999" s="83"/>
      <c r="X999" s="83"/>
      <c r="Y999" s="83"/>
      <c r="Z999" s="83"/>
    </row>
    <row r="1000" ht="14.25" customHeight="1" spans="1:26" x14ac:dyDescent="0.25">
      <c r="A1000" s="83"/>
      <c r="B1000" s="83"/>
      <c r="C1000" s="83"/>
      <c r="D1000" s="83"/>
      <c r="E1000" s="83"/>
      <c r="F1000" s="83"/>
      <c r="G1000" s="83"/>
      <c r="H1000" s="83"/>
      <c r="I1000" s="83"/>
      <c r="J1000" s="83"/>
      <c r="K1000" s="83"/>
      <c r="L1000" s="83"/>
      <c r="M1000" s="83"/>
      <c r="N1000" s="83"/>
      <c r="O1000" s="83"/>
      <c r="P1000" s="83"/>
      <c r="Q1000" s="83"/>
      <c r="R1000" s="83"/>
      <c r="S1000" s="83"/>
      <c r="T1000" s="83"/>
      <c r="U1000" s="83"/>
      <c r="V1000" s="83"/>
      <c r="W1000" s="83"/>
      <c r="X1000" s="83"/>
      <c r="Y1000" s="83"/>
      <c r="Z1000" s="8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1000"/>
  <sheetViews>
    <sheetView workbookViewId="0" zoomScale="100" zoomScaleNormal="100">
      <pane xSplit="3" ySplit="1" topLeftCell="D2" activePane="bottomRight" state="frozen"/>
      <selection pane="bottomRight" activeCell="D2" sqref="D2"/>
    </sheetView>
  </sheetViews>
  <sheetFormatPr defaultRowHeight="15" outlineLevelRow="0" outlineLevelCol="1" x14ac:dyDescent="0" defaultColWidth="14.43"/>
  <cols>
    <col min="1" max="1" width="6" customWidth="1"/>
    <col min="2" max="2" width="14" customWidth="1"/>
    <col min="3" max="3" width="22" customWidth="1"/>
    <col min="4" max="4" width="16" customWidth="1"/>
    <col min="5" max="5" width="20" customWidth="1"/>
    <col min="6" max="6" width="18" customWidth="1"/>
    <col min="7" max="7" width="16" customWidth="1"/>
    <col min="8" max="9" width="14" customWidth="1"/>
    <col min="10" max="10" width="18" customWidth="1"/>
    <col min="11" max="11" width="24" customWidth="1"/>
    <col min="12" max="26" width="8.71" customWidth="1"/>
  </cols>
  <sheetData>
    <row r="1" ht="31.5" customHeight="1" spans="1:11" x14ac:dyDescent="0.25">
      <c r="A1" s="51" t="s">
        <v>33</v>
      </c>
      <c r="B1" s="51" t="s">
        <v>609</v>
      </c>
      <c r="C1" s="51" t="s">
        <v>487</v>
      </c>
      <c r="D1" s="51" t="s">
        <v>558</v>
      </c>
      <c r="E1" s="51" t="s">
        <v>610</v>
      </c>
      <c r="F1" s="51" t="s">
        <v>611</v>
      </c>
      <c r="G1" s="51" t="s">
        <v>612</v>
      </c>
      <c r="H1" s="51" t="s">
        <v>613</v>
      </c>
      <c r="I1" s="51" t="s">
        <v>614</v>
      </c>
      <c r="J1" s="51" t="s">
        <v>615</v>
      </c>
      <c r="K1" s="51" t="s">
        <v>616</v>
      </c>
    </row>
    <row r="2" ht="14.25" customHeight="1" spans="1:11" x14ac:dyDescent="0.25">
      <c r="A2" s="79">
        <f>IFERROR(IF(ISNUMBER(MATCH(1,'05_Theo_Doi_Gio_Cong_7_Ngay'!$O:$O,0)),1,""),"")</f>
        <v>1</v>
      </c>
      <c r="B2" s="87">
        <f t="array" ref="B2">IFERROR(IF(A2="","",INDEX('05_Theo_Doi_Gio_Cong_7_Ngay'!$R:$R,MATCH(A2,'05_Theo_Doi_Gio_Cong_7_Ngay'!$O:$O,0))),"")</f>
        <v>489</v>
      </c>
      <c r="C2" s="79" t="str">
        <f t="array" ref="C2">IFERROR(IF(A2="","",INDEX('05_Theo_Doi_Gio_Cong_7_Ngay'!$C:$C,MATCH(1,'05_Theo_Doi_Gio_Cong_7_Ngay'!$O:$O,0))),"")</f>
        <v>Lâm Ngọc Bình</v>
      </c>
      <c r="D2" s="80">
        <f t="array" ref="D2">IFERROR(IF(A2="","",INDEX('05_Theo_Doi_Gio_Cong_7_Ngay'!$D:$D,MATCH(1,'05_Theo_Doi_Gio_Cong_7_Ngay'!$O:$O,0))),"")</f>
        <v>46227</v>
      </c>
      <c r="E2" s="80">
        <f t="array" ref="E2">IFERROR(IF(B2="","",INDEX('02_DS_Nhan_Viec'!$G:$G,MATCH(C2,'02_DS_Nhan_Viec'!$C:$C,0))),"")</f>
        <v>46238</v>
      </c>
      <c r="F2" s="79" t="str">
        <f t="array" ref="F2">IFERROR(IF(B2="","",INDEX('02_DS_Nhan_Viec'!$H:$H,MATCH(C2,'02_DS_Nhan_Viec'!$C:$C,0))),"")</f>
        <v>Chuyền chặt</v>
      </c>
      <c r="G2" s="79" t="str">
        <f t="array" ref="G2">IFERROR(IF(B2="","",INDEX('02_DS_Nhan_Viec'!$I:$I,MATCH(C2,'02_DS_Nhan_Viec'!$C:$C,0))),"")</f>
        <v>Thợ chặt</v>
      </c>
      <c r="H2" s="79">
        <f t="array" ref="H2">IF(B2="","",IFERROR(IF(INDEX('03_Ho_So_Nhan_Vien'!$M:$M,MATCH(B2,'03_Ho_So_Nhan_Vien'!$C:$C,0))=0,"",INDEX('03_Ho_So_Nhan_Vien'!$M:$M,MATCH(B2,'03_Ho_So_Nhan_Vien'!$C:$C,0))),""))</f>
      </c>
      <c r="I2" s="78" t="s">
        <v>405</v>
      </c>
      <c r="J2" s="78" t="s">
        <v>405</v>
      </c>
      <c r="K2" s="78" t="s">
        <v>617</v>
      </c>
    </row>
    <row r="3" ht="14.25" customHeight="1" spans="1:11" x14ac:dyDescent="0.25">
      <c r="A3" s="79">
        <f>IFERROR(IF(ISNUMBER(MATCH(2,'05_Theo_Doi_Gio_Cong_7_Ngay'!$O:$O,0)),2,""),"")</f>
        <v>2</v>
      </c>
      <c r="B3" s="87">
        <f t="array" ref="B3">IFERROR(IF(A3="","",INDEX('05_Theo_Doi_Gio_Cong_7_Ngay'!$R:$R,MATCH(A3,'05_Theo_Doi_Gio_Cong_7_Ngay'!$O:$O,0))),"")</f>
        <v>488</v>
      </c>
      <c r="C3" s="79" t="str">
        <f t="array" ref="C3">IFERROR(IF(A3="","",INDEX('05_Theo_Doi_Gio_Cong_7_Ngay'!$C:$C,MATCH(2,'05_Theo_Doi_Gio_Cong_7_Ngay'!$O:$O,0))),"")</f>
        <v>Trần Đức Trí</v>
      </c>
      <c r="D3" s="80">
        <f t="array" ref="D3">IFERROR(IF(A3="","",INDEX('05_Theo_Doi_Gio_Cong_7_Ngay'!$D:$D,MATCH(2,'05_Theo_Doi_Gio_Cong_7_Ngay'!$O:$O,0))),"")</f>
        <v>46226</v>
      </c>
      <c r="E3" s="80">
        <f t="array" ref="E3">IFERROR(IF(B3="","",INDEX('02_DS_Nhan_Viec'!$G:$G,MATCH(C3,'02_DS_Nhan_Viec'!$C:$C,0))),"")</f>
        <v>46237</v>
      </c>
      <c r="F3" s="79">
        <f t="array" ref="F3">IFERROR(IF(B3="","",INDEX('02_DS_Nhan_Viec'!$H:$H,MATCH(C3,'02_DS_Nhan_Viec'!$C:$C,0))),"")</f>
      </c>
      <c r="G3" s="79">
        <f t="array" ref="G3">IFERROR(IF(B3="","",INDEX('02_DS_Nhan_Viec'!$I:$I,MATCH(C3,'02_DS_Nhan_Viec'!$C:$C,0))),"")</f>
      </c>
      <c r="H3" s="79">
        <f t="array" ref="H3">IF(B3="","",IFERROR(IF(INDEX('03_Ho_So_Nhan_Vien'!$M:$M,MATCH(B3,'03_Ho_So_Nhan_Vien'!$C:$C,0))=0,"",INDEX('03_Ho_So_Nhan_Vien'!$M:$M,MATCH(B3,'03_Ho_So_Nhan_Vien'!$C:$C,0))),""))</f>
      </c>
      <c r="I3" s="78" t="s">
        <v>405</v>
      </c>
      <c r="J3" s="78" t="s">
        <v>405</v>
      </c>
      <c r="K3" s="78" t="s">
        <v>617</v>
      </c>
    </row>
    <row r="4" ht="14.25" customHeight="1" spans="1:11" x14ac:dyDescent="0.25">
      <c r="A4" s="79">
        <f>IFERROR(IF(ISNUMBER(MATCH(3,'05_Theo_Doi_Gio_Cong_7_Ngay'!$O:$O,0)),3,""),"")</f>
        <v>3</v>
      </c>
      <c r="B4" s="87">
        <f t="array" ref="B4">IFERROR(IF(A4="","",INDEX('05_Theo_Doi_Gio_Cong_7_Ngay'!$R:$R,MATCH(A4,'05_Theo_Doi_Gio_Cong_7_Ngay'!$O:$O,0))),"")</f>
        <v>484</v>
      </c>
      <c r="C4" s="79" t="str">
        <f t="array" ref="C4">IFERROR(IF(A4="","",INDEX('05_Theo_Doi_Gio_Cong_7_Ngay'!$C:$C,MATCH(3,'05_Theo_Doi_Gio_Cong_7_Ngay'!$O:$O,0))),"")</f>
        <v>Nguyễn Hoàng Thiện</v>
      </c>
      <c r="D4" s="80">
        <f t="array" ref="D4">IFERROR(IF(A4="","",INDEX('05_Theo_Doi_Gio_Cong_7_Ngay'!$D:$D,MATCH(3,'05_Theo_Doi_Gio_Cong_7_Ngay'!$O:$O,0))),"")</f>
        <v>46218</v>
      </c>
      <c r="E4" s="80">
        <f t="array" ref="E4">IFERROR(IF(B4="","",INDEX('02_DS_Nhan_Viec'!$G:$G,MATCH(C4,'02_DS_Nhan_Viec'!$C:$C,0))),"")</f>
        <v>46227</v>
      </c>
      <c r="F4" s="79" t="str">
        <f t="array" ref="F4">IFERROR(IF(B4="","",INDEX('02_DS_Nhan_Viec'!$H:$H,MATCH(C4,'02_DS_Nhan_Viec'!$C:$C,0))),"")</f>
        <v>Chuyền chặt</v>
      </c>
      <c r="G4" s="79" t="str">
        <f t="array" ref="G4">IFERROR(IF(B4="","",INDEX('02_DS_Nhan_Viec'!$I:$I,MATCH(C4,'02_DS_Nhan_Viec'!$C:$C,0))),"")</f>
        <v>Thợ chặt</v>
      </c>
      <c r="H4" s="79">
        <f t="array" ref="H4">IF(B4="","",IFERROR(IF(INDEX('03_Ho_So_Nhan_Vien'!$M:$M,MATCH(B4,'03_Ho_So_Nhan_Vien'!$C:$C,0))=0,"",INDEX('03_Ho_So_Nhan_Vien'!$M:$M,MATCH(B4,'03_Ho_So_Nhan_Vien'!$C:$C,0))),""))</f>
      </c>
      <c r="I4" s="78" t="s">
        <v>405</v>
      </c>
      <c r="J4" s="78" t="s">
        <v>405</v>
      </c>
      <c r="K4" s="78" t="s">
        <v>617</v>
      </c>
    </row>
    <row r="5" ht="14.25" customHeight="1" spans="1:11" x14ac:dyDescent="0.25">
      <c r="A5" s="79">
        <f>IFERROR(IF(ISNUMBER(MATCH(4,'05_Theo_Doi_Gio_Cong_7_Ngay'!$O:$O,0)),4,""),"")</f>
        <v>4</v>
      </c>
      <c r="B5" s="87">
        <f t="array" ref="B5">IFERROR(IF(A5="","",INDEX('05_Theo_Doi_Gio_Cong_7_Ngay'!$R:$R,MATCH(A5,'05_Theo_Doi_Gio_Cong_7_Ngay'!$O:$O,0))),"")</f>
        <v>483</v>
      </c>
      <c r="C5" s="79" t="str">
        <f t="array" ref="C5">IFERROR(IF(A5="","",INDEX('05_Theo_Doi_Gio_Cong_7_Ngay'!$C:$C,MATCH(4,'05_Theo_Doi_Gio_Cong_7_Ngay'!$O:$O,0))),"")</f>
        <v>Võ Quốc Kiệt</v>
      </c>
      <c r="D5" s="80">
        <f t="array" ref="D5">IFERROR(IF(A5="","",INDEX('05_Theo_Doi_Gio_Cong_7_Ngay'!$D:$D,MATCH(4,'05_Theo_Doi_Gio_Cong_7_Ngay'!$O:$O,0))),"")</f>
        <v>46218</v>
      </c>
      <c r="E5" s="80">
        <f t="array" ref="E5">IFERROR(IF(B5="","",INDEX('02_DS_Nhan_Viec'!$G:$G,MATCH(C5,'02_DS_Nhan_Viec'!$C:$C,0))),"")</f>
        <v>46227</v>
      </c>
      <c r="F5" s="79" t="str">
        <f t="array" ref="F5">IFERROR(IF(B5="","",INDEX('02_DS_Nhan_Viec'!$H:$H,MATCH(C5,'02_DS_Nhan_Viec'!$C:$C,0))),"")</f>
        <v>Chuyền chặt</v>
      </c>
      <c r="G5" s="79" t="str">
        <f t="array" ref="G5">IFERROR(IF(B5="","",INDEX('02_DS_Nhan_Viec'!$I:$I,MATCH(C5,'02_DS_Nhan_Viec'!$C:$C,0))),"")</f>
        <v>Thợ chặt</v>
      </c>
      <c r="H5" s="79">
        <f t="array" ref="H5">IF(B5="","",IFERROR(IF(INDEX('03_Ho_So_Nhan_Vien'!$M:$M,MATCH(B5,'03_Ho_So_Nhan_Vien'!$C:$C,0))=0,"",INDEX('03_Ho_So_Nhan_Vien'!$M:$M,MATCH(B5,'03_Ho_So_Nhan_Vien'!$C:$C,0))),""))</f>
      </c>
      <c r="I5" s="78" t="s">
        <v>405</v>
      </c>
      <c r="J5" s="78" t="s">
        <v>405</v>
      </c>
      <c r="K5" s="78" t="s">
        <v>617</v>
      </c>
    </row>
    <row r="6" ht="14.25" customHeight="1" spans="1:11" x14ac:dyDescent="0.25">
      <c r="A6" s="79">
        <f>IFERROR(IF(ISNUMBER(MATCH(5,'05_Theo_Doi_Gio_Cong_7_Ngay'!$O:$O,0)),5,""),"")</f>
        <v>5</v>
      </c>
      <c r="B6" s="87">
        <f t="array" ref="B6">IFERROR(IF(A6="","",INDEX('05_Theo_Doi_Gio_Cong_7_Ngay'!$R:$R,MATCH(A6,'05_Theo_Doi_Gio_Cong_7_Ngay'!$O:$O,0))),"")</f>
        <v>477</v>
      </c>
      <c r="C6" s="79" t="str">
        <f t="array" ref="C6">IFERROR(IF(A6="","",INDEX('05_Theo_Doi_Gio_Cong_7_Ngay'!$C:$C,MATCH(5,'05_Theo_Doi_Gio_Cong_7_Ngay'!$O:$O,0))),"")</f>
        <v>Nguyễn Thị Thuý</v>
      </c>
      <c r="D6" s="80">
        <f t="array" ref="D6">IFERROR(IF(A6="","",INDEX('05_Theo_Doi_Gio_Cong_7_Ngay'!$D:$D,MATCH(5,'05_Theo_Doi_Gio_Cong_7_Ngay'!$O:$O,0))),"")</f>
        <v>46211</v>
      </c>
      <c r="E6" s="80">
        <f t="array" ref="E6">IFERROR(IF(B6="","",INDEX('02_DS_Nhan_Viec'!$G:$G,MATCH(C6,'02_DS_Nhan_Viec'!$C:$C,0))),"")</f>
        <v>46220</v>
      </c>
      <c r="F6" s="79">
        <f t="array" ref="F6">IFERROR(IF(B6="","",INDEX('02_DS_Nhan_Viec'!$H:$H,MATCH(C6,'02_DS_Nhan_Viec'!$C:$C,0))),"")</f>
      </c>
      <c r="G6" s="79">
        <f t="array" ref="G6">IFERROR(IF(B6="","",INDEX('02_DS_Nhan_Viec'!$I:$I,MATCH(C6,'02_DS_Nhan_Viec'!$C:$C,0))),"")</f>
      </c>
      <c r="H6" s="79">
        <f t="array" ref="H6">IF(B6="","",IFERROR(IF(INDEX('03_Ho_So_Nhan_Vien'!$M:$M,MATCH(B6,'03_Ho_So_Nhan_Vien'!$C:$C,0))=0,"",INDEX('03_Ho_So_Nhan_Vien'!$M:$M,MATCH(B6,'03_Ho_So_Nhan_Vien'!$C:$C,0))),""))</f>
      </c>
      <c r="I6" s="78" t="s">
        <v>405</v>
      </c>
      <c r="J6" s="78" t="s">
        <v>405</v>
      </c>
      <c r="K6" s="78" t="s">
        <v>617</v>
      </c>
    </row>
    <row r="7" ht="14.25" customHeight="1" spans="1:11" x14ac:dyDescent="0.25">
      <c r="A7" s="79">
        <f>IFERROR(IF(ISNUMBER(MATCH(6,'05_Theo_Doi_Gio_Cong_7_Ngay'!$O:$O,0)),6,""),"")</f>
        <v>6</v>
      </c>
      <c r="B7" s="87">
        <f t="array" ref="B7">IFERROR(IF(A7="","",INDEX('05_Theo_Doi_Gio_Cong_7_Ngay'!$R:$R,MATCH(A7,'05_Theo_Doi_Gio_Cong_7_Ngay'!$O:$O,0))),"")</f>
        <v>315</v>
      </c>
      <c r="C7" s="79" t="str">
        <f t="array" ref="C7">IFERROR(IF(A7="","",INDEX('05_Theo_Doi_Gio_Cong_7_Ngay'!$C:$C,MATCH(6,'05_Theo_Doi_Gio_Cong_7_Ngay'!$O:$O,0))),"")</f>
        <v>Bùi Thị Phương Anh</v>
      </c>
      <c r="D7" s="80">
        <f t="array" ref="D7">IFERROR(IF(A7="","",INDEX('05_Theo_Doi_Gio_Cong_7_Ngay'!$D:$D,MATCH(6,'05_Theo_Doi_Gio_Cong_7_Ngay'!$O:$O,0))),"")</f>
        <v>46206</v>
      </c>
      <c r="E7" s="80">
        <f t="array" ref="E7">IFERROR(IF(B7="","",INDEX('02_DS_Nhan_Viec'!$G:$G,MATCH(C7,'02_DS_Nhan_Viec'!$C:$C,0))),"")</f>
        <v>46217</v>
      </c>
      <c r="F7" s="79">
        <f t="array" ref="F7">IFERROR(IF(B7="","",INDEX('02_DS_Nhan_Viec'!$H:$H,MATCH(C7,'02_DS_Nhan_Viec'!$C:$C,0))),"")</f>
      </c>
      <c r="G7" s="79">
        <f t="array" ref="G7">IFERROR(IF(B7="","",INDEX('02_DS_Nhan_Viec'!$I:$I,MATCH(C7,'02_DS_Nhan_Viec'!$C:$C,0))),"")</f>
      </c>
      <c r="H7" s="79">
        <f t="array" ref="H7">IF(B7="","",IFERROR(IF(INDEX('03_Ho_So_Nhan_Vien'!$M:$M,MATCH(B7,'03_Ho_So_Nhan_Vien'!$C:$C,0))=0,"",INDEX('03_Ho_So_Nhan_Vien'!$M:$M,MATCH(B7,'03_Ho_So_Nhan_Vien'!$C:$C,0))),""))</f>
      </c>
      <c r="I7" s="78" t="s">
        <v>405</v>
      </c>
      <c r="J7" s="78" t="s">
        <v>405</v>
      </c>
      <c r="K7" s="78" t="s">
        <v>534</v>
      </c>
    </row>
    <row r="8" ht="14.25" customHeight="1" spans="1:11" x14ac:dyDescent="0.25">
      <c r="A8" s="79">
        <f>IFERROR(IF(ISNUMBER(MATCH(7,'05_Theo_Doi_Gio_Cong_7_Ngay'!$O:$O,0)),7,""),"")</f>
        <v>7</v>
      </c>
      <c r="B8" s="87">
        <f t="array" ref="B8">IFERROR(IF(A8="","",INDEX('05_Theo_Doi_Gio_Cong_7_Ngay'!$R:$R,MATCH(A8,'05_Theo_Doi_Gio_Cong_7_Ngay'!$O:$O,0))),"")</f>
        <v>492</v>
      </c>
      <c r="C8" s="79" t="str">
        <f t="array" ref="C8">IFERROR(IF(A8="","",INDEX('05_Theo_Doi_Gio_Cong_7_Ngay'!$C:$C,MATCH(7,'05_Theo_Doi_Gio_Cong_7_Ngay'!$O:$O,0))),"")</f>
        <v>Cao Thị Thu Phương</v>
      </c>
      <c r="D8" s="80">
        <f t="array" ref="D8">IFERROR(IF(A8="","",INDEX('05_Theo_Doi_Gio_Cong_7_Ngay'!$D:$D,MATCH(7,'05_Theo_Doi_Gio_Cong_7_Ngay'!$O:$O,0))),"")</f>
        <v>46244</v>
      </c>
      <c r="E8" s="80">
        <f t="array" ref="E8">IFERROR(IF(B8="","",INDEX('02_DS_Nhan_Viec'!$G:$G,MATCH(C8,'02_DS_Nhan_Viec'!$C:$C,0))),"")</f>
        <v>46253</v>
      </c>
      <c r="F8" s="79" t="str">
        <f t="array" ref="F8">IFERROR(IF(B8="","",INDEX('02_DS_Nhan_Viec'!$H:$H,MATCH(C8,'02_DS_Nhan_Viec'!$C:$C,0))),"")</f>
        <v>Chuẩn bị</v>
      </c>
      <c r="G8" s="79" t="str">
        <f t="array" ref="G8">IFERROR(IF(B8="","",INDEX('02_DS_Nhan_Viec'!$I:$I,MATCH(C8,'02_DS_Nhan_Viec'!$C:$C,0))),"")</f>
        <v>Thợ may</v>
      </c>
      <c r="H8" s="79">
        <f t="array" ref="H8">IF(B8="","",IFERROR(IF(INDEX('03_Ho_So_Nhan_Vien'!$M:$M,MATCH(B8,'03_Ho_So_Nhan_Vien'!$C:$C,0))=0,"",INDEX('03_Ho_So_Nhan_Vien'!$M:$M,MATCH(B8,'03_Ho_So_Nhan_Vien'!$C:$C,0))),""))</f>
      </c>
      <c r="I8" s="78" t="s">
        <v>405</v>
      </c>
      <c r="J8" s="78" t="s">
        <v>405</v>
      </c>
      <c r="K8" s="78" t="s">
        <v>534</v>
      </c>
    </row>
    <row r="9" ht="14.25" customHeight="1" spans="1:11" x14ac:dyDescent="0.25">
      <c r="A9" s="79">
        <f>IFERROR(IF(ISNUMBER(MATCH(8,'05_Theo_Doi_Gio_Cong_7_Ngay'!$O:$O,0)),8,""),"")</f>
        <v>8</v>
      </c>
      <c r="B9" s="87">
        <f t="array" ref="B9">IFERROR(IF(A9="","",INDEX('05_Theo_Doi_Gio_Cong_7_Ngay'!$R:$R,MATCH(A9,'05_Theo_Doi_Gio_Cong_7_Ngay'!$O:$O,0))),"")</f>
        <v>495</v>
      </c>
      <c r="C9" s="79" t="str">
        <f t="array" ref="C9">IFERROR(IF(A9="","",INDEX('05_Theo_Doi_Gio_Cong_7_Ngay'!$C:$C,MATCH(8,'05_Theo_Doi_Gio_Cong_7_Ngay'!$O:$O,0))),"")</f>
        <v>Lâm Hữu An</v>
      </c>
      <c r="D9" s="80">
        <f t="array" ref="D9">IFERROR(IF(A9="","",INDEX('05_Theo_Doi_Gio_Cong_7_Ngay'!$D:$D,MATCH(8,'05_Theo_Doi_Gio_Cong_7_Ngay'!$O:$O,0))),"")</f>
        <v>46248</v>
      </c>
      <c r="E9" s="80">
        <f t="array" ref="E9">IFERROR(IF(B9="","",INDEX('02_DS_Nhan_Viec'!$G:$G,MATCH(C9,'02_DS_Nhan_Viec'!$C:$C,0))),"")</f>
        <v>46259</v>
      </c>
      <c r="F9" s="79" t="str">
        <f t="array" ref="F9">IFERROR(IF(B9="","",INDEX('02_DS_Nhan_Viec'!$H:$H,MATCH(C9,'02_DS_Nhan_Viec'!$C:$C,0))),"")</f>
        <v>Chuyền A</v>
      </c>
      <c r="G9" s="79" t="str">
        <f t="array" ref="G9">IFERROR(IF(B9="","",INDEX('02_DS_Nhan_Viec'!$I:$I,MATCH(C9,'02_DS_Nhan_Viec'!$C:$C,0))),"")</f>
        <v>Thợ may</v>
      </c>
      <c r="H9" s="79">
        <f t="array" ref="H9">IF(B9="","",IFERROR(IF(INDEX('03_Ho_So_Nhan_Vien'!$M:$M,MATCH(B9,'03_Ho_So_Nhan_Vien'!$C:$C,0))=0,"",INDEX('03_Ho_So_Nhan_Vien'!$M:$M,MATCH(B9,'03_Ho_So_Nhan_Vien'!$C:$C,0))),""))</f>
      </c>
      <c r="I9" s="78" t="s">
        <v>405</v>
      </c>
      <c r="J9" s="78" t="s">
        <v>405</v>
      </c>
      <c r="K9" s="78" t="s">
        <v>617</v>
      </c>
    </row>
    <row r="10" ht="14.25" customHeight="1" spans="1:11" x14ac:dyDescent="0.25">
      <c r="A10" s="79">
        <f>IFERROR(IF(ISNUMBER(MATCH(9,'05_Theo_Doi_Gio_Cong_7_Ngay'!$O:$O,0)),9,""),"")</f>
        <v>9</v>
      </c>
      <c r="B10" s="87">
        <f t="array" ref="B10">IFERROR(IF(A10="","",INDEX('05_Theo_Doi_Gio_Cong_7_Ngay'!$R:$R,MATCH(A10,'05_Theo_Doi_Gio_Cong_7_Ngay'!$O:$O,0))),"")</f>
        <v>493</v>
      </c>
      <c r="C10" s="79" t="str">
        <f t="array" ref="C10">IFERROR(IF(A10="","",INDEX('05_Theo_Doi_Gio_Cong_7_Ngay'!$C:$C,MATCH(9,'05_Theo_Doi_Gio_Cong_7_Ngay'!$O:$O,0))),"")</f>
        <v>Chu Nữ Ngọc Song Linh</v>
      </c>
      <c r="D10" s="80">
        <f t="array" ref="D10">IFERROR(IF(A10="","",INDEX('05_Theo_Doi_Gio_Cong_7_Ngay'!$D:$D,MATCH(9,'05_Theo_Doi_Gio_Cong_7_Ngay'!$O:$O,0))),"")</f>
        <v>46244</v>
      </c>
      <c r="E10" s="80">
        <f t="array" ref="E10">IFERROR(IF(B10="","",INDEX('02_DS_Nhan_Viec'!$G:$G,MATCH(C10,'02_DS_Nhan_Viec'!$C:$C,0))),"")</f>
        <v>46253</v>
      </c>
      <c r="F10" s="79" t="str">
        <f t="array" ref="F10">IFERROR(IF(B10="","",INDEX('02_DS_Nhan_Viec'!$H:$H,MATCH(C10,'02_DS_Nhan_Viec'!$C:$C,0))),"")</f>
        <v>Chuyền B</v>
      </c>
      <c r="G10" s="79" t="str">
        <f t="array" ref="G10">IFERROR(IF(B10="","",INDEX('02_DS_Nhan_Viec'!$I:$I,MATCH(C10,'02_DS_Nhan_Viec'!$C:$C,0))),"")</f>
        <v>Thợ may</v>
      </c>
      <c r="H10" s="79">
        <f t="array" ref="H10">IF(B10="","",IFERROR(IF(INDEX('03_Ho_So_Nhan_Vien'!$M:$M,MATCH(B10,'03_Ho_So_Nhan_Vien'!$C:$C,0))=0,"",INDEX('03_Ho_So_Nhan_Vien'!$M:$M,MATCH(B10,'03_Ho_So_Nhan_Vien'!$C:$C,0))),""))</f>
      </c>
      <c r="I10" s="78" t="s">
        <v>405</v>
      </c>
      <c r="J10" s="78" t="s">
        <v>405</v>
      </c>
      <c r="K10" s="78" t="s">
        <v>617</v>
      </c>
    </row>
    <row r="11" ht="14.25" customHeight="1" spans="1:11" x14ac:dyDescent="0.25">
      <c r="A11" s="79">
        <f>IFERROR(IF(ISNUMBER(MATCH(10,'05_Theo_Doi_Gio_Cong_7_Ngay'!$O:$O,0)),10,""),"")</f>
        <v>10</v>
      </c>
      <c r="B11" s="87">
        <f t="array" ref="B11">IFERROR(IF(A11="","",INDEX('05_Theo_Doi_Gio_Cong_7_Ngay'!$R:$R,MATCH(A11,'05_Theo_Doi_Gio_Cong_7_Ngay'!$O:$O,0))),"")</f>
        <v>183</v>
      </c>
      <c r="C11" s="79" t="str">
        <f t="array" ref="C11">IFERROR(IF(A11="","",INDEX('05_Theo_Doi_Gio_Cong_7_Ngay'!$C:$C,MATCH(10,'05_Theo_Doi_Gio_Cong_7_Ngay'!$O:$O,0))),"")</f>
        <v>Trần Thị Đó</v>
      </c>
      <c r="D11" s="80">
        <f t="array" ref="D11">IFERROR(IF(A11="","",INDEX('05_Theo_Doi_Gio_Cong_7_Ngay'!$D:$D,MATCH(10,'05_Theo_Doi_Gio_Cong_7_Ngay'!$O:$O,0))),"")</f>
        <v>46246</v>
      </c>
      <c r="E11" s="80">
        <f t="array" ref="E11">IFERROR(IF(B11="","",INDEX('02_DS_Nhan_Viec'!$G:$G,MATCH(C11,'02_DS_Nhan_Viec'!$C:$C,0))),"")</f>
        <v>46255</v>
      </c>
      <c r="F11" s="79">
        <f t="array" ref="F11">IFERROR(IF(B11="","",INDEX('02_DS_Nhan_Viec'!$H:$H,MATCH(C11,'02_DS_Nhan_Viec'!$C:$C,0))),"")</f>
      </c>
      <c r="G11" s="79">
        <f t="array" ref="G11">IFERROR(IF(B11="","",INDEX('02_DS_Nhan_Viec'!$I:$I,MATCH(C11,'02_DS_Nhan_Viec'!$C:$C,0))),"")</f>
      </c>
      <c r="H11" s="79">
        <f t="array" ref="H11">IF(B11="","",IFERROR(IF(INDEX('03_Ho_So_Nhan_Vien'!$M:$M,MATCH(B11,'03_Ho_So_Nhan_Vien'!$C:$C,0))=0,"",INDEX('03_Ho_So_Nhan_Vien'!$M:$M,MATCH(B11,'03_Ho_So_Nhan_Vien'!$C:$C,0))),""))</f>
      </c>
      <c r="I11" s="78" t="s">
        <v>405</v>
      </c>
      <c r="J11" s="78" t="s">
        <v>405</v>
      </c>
      <c r="K11" s="78" t="s">
        <v>617</v>
      </c>
    </row>
    <row r="12" ht="14.25" customHeight="1" spans="1:11" x14ac:dyDescent="0.25">
      <c r="A12" s="79">
        <f>IFERROR(IF(ISNUMBER(MATCH(11,'05_Theo_Doi_Gio_Cong_7_Ngay'!$O:$O,0)),11,""),"")</f>
        <v>11</v>
      </c>
      <c r="B12" s="87">
        <f t="array" ref="B12">IFERROR(IF(A12="","",INDEX('05_Theo_Doi_Gio_Cong_7_Ngay'!$R:$R,MATCH(A12,'05_Theo_Doi_Gio_Cong_7_Ngay'!$O:$O,0))),"")</f>
        <v>496</v>
      </c>
      <c r="C12" s="79" t="str">
        <f t="array" ref="C12">IFERROR(IF(A12="","",INDEX('05_Theo_Doi_Gio_Cong_7_Ngay'!$C:$C,MATCH(11,'05_Theo_Doi_Gio_Cong_7_Ngay'!$O:$O,0))),"")</f>
        <v>Phan Văn Cánh</v>
      </c>
      <c r="D12" s="80">
        <f t="array" ref="D12">IFERROR(IF(A12="","",INDEX('05_Theo_Doi_Gio_Cong_7_Ngay'!$D:$D,MATCH(11,'05_Theo_Doi_Gio_Cong_7_Ngay'!$O:$O,0))),"")</f>
        <v>46256</v>
      </c>
      <c r="E12" s="80">
        <f t="array" ref="E12">IFERROR(IF(B12="","",INDEX('02_DS_Nhan_Viec'!$G:$G,MATCH(B12,'02_DS_Nhan_Viec'!$J:$J,0))),"")</f>
      </c>
      <c r="F12" s="79">
        <f t="array" ref="F12">IFERROR(IF(B12="","",INDEX('02_DS_Nhan_Viec'!$H:$H,MATCH(B12,'02_DS_Nhan_Viec'!$J:$J,0))),"")</f>
      </c>
      <c r="G12" s="79">
        <f t="array" ref="G12">IFERROR(IF(B12="","",INDEX('02_DS_Nhan_Viec'!$I:$I,MATCH(B12,'02_DS_Nhan_Viec'!$J:$J,0))),"")</f>
      </c>
      <c r="H12" s="79">
        <f t="array" ref="H12">IF(B12="","",IFERROR(IF(INDEX('03_Ho_So_Nhan_Vien'!$M:$M,MATCH(B12,'03_Ho_So_Nhan_Vien'!$C:$C,0))=0,"",INDEX('03_Ho_So_Nhan_Vien'!$M:$M,MATCH(B12,'03_Ho_So_Nhan_Vien'!$C:$C,0))),""))</f>
      </c>
      <c r="I12" s="78" t="s">
        <v>405</v>
      </c>
      <c r="J12" s="78" t="s">
        <v>405</v>
      </c>
      <c r="K12" s="78" t="s">
        <v>534</v>
      </c>
    </row>
    <row r="13" ht="14.25" customHeight="1" spans="1:11" x14ac:dyDescent="0.25">
      <c r="A13" s="79">
        <f>IFERROR(IF(ISNUMBER(MATCH(12,'05_Theo_Doi_Gio_Cong_7_Ngay'!$O:$O,0)),12,""),"")</f>
        <v>12</v>
      </c>
      <c r="B13" s="87">
        <f t="array" ref="B13">IFERROR(IF(A13="","",INDEX('05_Theo_Doi_Gio_Cong_7_Ngay'!$R:$R,MATCH(A13,'05_Theo_Doi_Gio_Cong_7_Ngay'!$O:$O,0))),"")</f>
        <v>499</v>
      </c>
      <c r="C13" s="79" t="str">
        <f t="array" ref="C13">IFERROR(IF(A13="","",INDEX('05_Theo_Doi_Gio_Cong_7_Ngay'!$C:$C,MATCH(12,'05_Theo_Doi_Gio_Cong_7_Ngay'!$O:$O,0))),"")</f>
        <v>Nguyễn Văn Nhơn</v>
      </c>
      <c r="D13" s="80">
        <f t="array" ref="D13">IFERROR(IF(A13="","",INDEX('05_Theo_Doi_Gio_Cong_7_Ngay'!$D:$D,MATCH(12,'05_Theo_Doi_Gio_Cong_7_Ngay'!$O:$O,0))),"")</f>
        <v>46256</v>
      </c>
      <c r="E13" s="80">
        <f t="array" ref="E13">IFERROR(IF(B13="","",INDEX('02_DS_Nhan_Viec'!$G:$G,MATCH(B13,'02_DS_Nhan_Viec'!$J:$J,0))),"")</f>
      </c>
      <c r="F13" s="79">
        <f t="array" ref="F13">IFERROR(IF(B13="","",INDEX('02_DS_Nhan_Viec'!$H:$H,MATCH(B13,'02_DS_Nhan_Viec'!$J:$J,0))),"")</f>
      </c>
      <c r="G13" s="79">
        <f t="array" ref="G13">IFERROR(IF(B13="","",INDEX('02_DS_Nhan_Viec'!$I:$I,MATCH(B13,'02_DS_Nhan_Viec'!$J:$J,0))),"")</f>
      </c>
      <c r="H13" s="79">
        <f t="array" ref="H13">IF(B13="","",IFERROR(IF(INDEX('03_Ho_So_Nhan_Vien'!$M:$M,MATCH(B13,'03_Ho_So_Nhan_Vien'!$C:$C,0))=0,"",INDEX('03_Ho_So_Nhan_Vien'!$M:$M,MATCH(B13,'03_Ho_So_Nhan_Vien'!$C:$C,0))),""))</f>
      </c>
      <c r="I13" s="78" t="s">
        <v>405</v>
      </c>
      <c r="J13" s="78" t="s">
        <v>405</v>
      </c>
      <c r="K13" s="78" t="s">
        <v>617</v>
      </c>
    </row>
    <row r="14" ht="14.25" customHeight="1" spans="1:11" x14ac:dyDescent="0.25">
      <c r="A14" s="79">
        <f>IFERROR(IF(ISNUMBER(MATCH(13,'05_Theo_Doi_Gio_Cong_7_Ngay'!$O:$O,0)),13,""),"")</f>
      </c>
      <c r="B14" s="87">
        <f t="array" ref="B14">IFERROR(IF(A14="","",INDEX('05_Theo_Doi_Gio_Cong_7_Ngay'!$B:$B,MATCH(13,'05_Theo_Doi_Gio_Cong_7_Ngay'!$O:$O,0))),"")</f>
      </c>
      <c r="C14" s="79">
        <f t="array" ref="C14">IFERROR(IF(A14="","",INDEX('05_Theo_Doi_Gio_Cong_7_Ngay'!$C:$C,MATCH(13,'05_Theo_Doi_Gio_Cong_7_Ngay'!$O:$O,0))),"")</f>
      </c>
      <c r="D14" s="80">
        <f t="array" ref="D14">IFERROR(IF(A14="","",INDEX('05_Theo_Doi_Gio_Cong_7_Ngay'!$D:$D,MATCH(13,'05_Theo_Doi_Gio_Cong_7_Ngay'!$O:$O,0))),"")</f>
      </c>
      <c r="E14" s="80">
        <f t="array" ref="E14">IFERROR(IF(B14="","",INDEX('02_DS_Nhan_Viec'!$G:$G,MATCH(B14,'02_DS_Nhan_Viec'!$J:$J,0))),"")</f>
      </c>
      <c r="F14" s="79">
        <f t="array" ref="F14">IFERROR(IF(B14="","",INDEX('02_DS_Nhan_Viec'!$H:$H,MATCH(B14,'02_DS_Nhan_Viec'!$J:$J,0))),"")</f>
      </c>
      <c r="G14" s="79">
        <f t="array" ref="G14">IFERROR(IF(B14="","",INDEX('02_DS_Nhan_Viec'!$I:$I,MATCH(B14,'02_DS_Nhan_Viec'!$J:$J,0))),"")</f>
      </c>
      <c r="H14" s="79">
        <f t="array" ref="H14">IF(B14="","",IFERROR(IF(INDEX('03_Ho_So_Nhan_Vien'!$M:$M,MATCH(B14,'03_Ho_So_Nhan_Vien'!$C:$C,0))=0,"",INDEX('03_Ho_So_Nhan_Vien'!$M:$M,MATCH(B14,'03_Ho_So_Nhan_Vien'!$C:$C,0))),""))</f>
      </c>
      <c r="I14" s="78"/>
      <c r="J14" s="78"/>
      <c r="K14" s="78"/>
    </row>
    <row r="15" ht="14.25" customHeight="1" spans="1:11" x14ac:dyDescent="0.25">
      <c r="A15" s="79">
        <f>IFERROR(IF(ISNUMBER(MATCH(14,'05_Theo_Doi_Gio_Cong_7_Ngay'!$O:$O,0)),14,""),"")</f>
      </c>
      <c r="B15" s="87">
        <f t="array" ref="B15">IFERROR(IF(A15="","",INDEX('05_Theo_Doi_Gio_Cong_7_Ngay'!$B:$B,MATCH(14,'05_Theo_Doi_Gio_Cong_7_Ngay'!$O:$O,0))),"")</f>
      </c>
      <c r="C15" s="79">
        <f t="array" ref="C15">IFERROR(IF(A15="","",INDEX('05_Theo_Doi_Gio_Cong_7_Ngay'!$C:$C,MATCH(14,'05_Theo_Doi_Gio_Cong_7_Ngay'!$O:$O,0))),"")</f>
      </c>
      <c r="D15" s="80">
        <f t="array" ref="D15">IFERROR(IF(A15="","",INDEX('05_Theo_Doi_Gio_Cong_7_Ngay'!$D:$D,MATCH(14,'05_Theo_Doi_Gio_Cong_7_Ngay'!$O:$O,0))),"")</f>
      </c>
      <c r="E15" s="80">
        <f t="array" ref="E15">IFERROR(IF(B15="","",INDEX('02_DS_Nhan_Viec'!$G:$G,MATCH(B15,'02_DS_Nhan_Viec'!$J:$J,0))),"")</f>
      </c>
      <c r="F15" s="79">
        <f t="array" ref="F15">IFERROR(IF(B15="","",INDEX('02_DS_Nhan_Viec'!$H:$H,MATCH(B15,'02_DS_Nhan_Viec'!$J:$J,0))),"")</f>
      </c>
      <c r="G15" s="79">
        <f t="array" ref="G15">IFERROR(IF(B15="","",INDEX('02_DS_Nhan_Viec'!$I:$I,MATCH(B15,'02_DS_Nhan_Viec'!$J:$J,0))),"")</f>
      </c>
      <c r="H15" s="79">
        <f t="array" ref="H15">IF(B15="","",IFERROR(IF(INDEX('03_Ho_So_Nhan_Vien'!$M:$M,MATCH(B15,'03_Ho_So_Nhan_Vien'!$C:$C,0))=0,"",INDEX('03_Ho_So_Nhan_Vien'!$M:$M,MATCH(B15,'03_Ho_So_Nhan_Vien'!$C:$C,0))),""))</f>
      </c>
      <c r="I15" s="78"/>
      <c r="J15" s="78"/>
      <c r="K15" s="78"/>
    </row>
    <row r="16" ht="14.25" customHeight="1" spans="1:11" x14ac:dyDescent="0.25">
      <c r="A16" s="79">
        <f>IFERROR(IF(ISNUMBER(MATCH(15,'05_Theo_Doi_Gio_Cong_7_Ngay'!$O:$O,0)),15,""),"")</f>
      </c>
      <c r="B16" s="87">
        <f t="array" ref="B16">IFERROR(IF(A16="","",INDEX('05_Theo_Doi_Gio_Cong_7_Ngay'!$B:$B,MATCH(15,'05_Theo_Doi_Gio_Cong_7_Ngay'!$O:$O,0))),"")</f>
      </c>
      <c r="C16" s="79">
        <f t="array" ref="C16">IFERROR(IF(A16="","",INDEX('05_Theo_Doi_Gio_Cong_7_Ngay'!$C:$C,MATCH(15,'05_Theo_Doi_Gio_Cong_7_Ngay'!$O:$O,0))),"")</f>
      </c>
      <c r="D16" s="80">
        <f t="array" ref="D16">IFERROR(IF(A16="","",INDEX('05_Theo_Doi_Gio_Cong_7_Ngay'!$D:$D,MATCH(15,'05_Theo_Doi_Gio_Cong_7_Ngay'!$O:$O,0))),"")</f>
      </c>
      <c r="E16" s="80">
        <f t="array" ref="E16">IFERROR(IF(B16="","",INDEX('02_DS_Nhan_Viec'!$G:$G,MATCH(B16,'02_DS_Nhan_Viec'!$J:$J,0))),"")</f>
      </c>
      <c r="F16" s="79">
        <f t="array" ref="F16">IFERROR(IF(B16="","",INDEX('02_DS_Nhan_Viec'!$H:$H,MATCH(B16,'02_DS_Nhan_Viec'!$J:$J,0))),"")</f>
      </c>
      <c r="G16" s="79">
        <f t="array" ref="G16">IFERROR(IF(B16="","",INDEX('02_DS_Nhan_Viec'!$I:$I,MATCH(B16,'02_DS_Nhan_Viec'!$J:$J,0))),"")</f>
      </c>
      <c r="H16" s="79">
        <f t="array" ref="H16">IF(B16="","",IFERROR(IF(INDEX('03_Ho_So_Nhan_Vien'!$M:$M,MATCH(B16,'03_Ho_So_Nhan_Vien'!$C:$C,0))=0,"",INDEX('03_Ho_So_Nhan_Vien'!$M:$M,MATCH(B16,'03_Ho_So_Nhan_Vien'!$C:$C,0))),""))</f>
      </c>
      <c r="I16" s="78"/>
      <c r="J16" s="78"/>
      <c r="K16" s="78"/>
    </row>
    <row r="17" ht="14.25" customHeight="1" spans="1:11" x14ac:dyDescent="0.25">
      <c r="A17" s="79">
        <f>IFERROR(IF(ISNUMBER(MATCH(16,'05_Theo_Doi_Gio_Cong_7_Ngay'!$O:$O,0)),16,""),"")</f>
      </c>
      <c r="B17" s="87">
        <f t="array" ref="B17">IFERROR(IF(A17="","",INDEX('05_Theo_Doi_Gio_Cong_7_Ngay'!$B:$B,MATCH(16,'05_Theo_Doi_Gio_Cong_7_Ngay'!$O:$O,0))),"")</f>
      </c>
      <c r="C17" s="79">
        <f t="array" ref="C17">IFERROR(IF(A17="","",INDEX('05_Theo_Doi_Gio_Cong_7_Ngay'!$C:$C,MATCH(16,'05_Theo_Doi_Gio_Cong_7_Ngay'!$O:$O,0))),"")</f>
      </c>
      <c r="D17" s="80">
        <f t="array" ref="D17">IFERROR(IF(A17="","",INDEX('05_Theo_Doi_Gio_Cong_7_Ngay'!$D:$D,MATCH(16,'05_Theo_Doi_Gio_Cong_7_Ngay'!$O:$O,0))),"")</f>
      </c>
      <c r="E17" s="80">
        <f t="array" ref="E17">IFERROR(IF(B17="","",INDEX('02_DS_Nhan_Viec'!$G:$G,MATCH(B17,'02_DS_Nhan_Viec'!$J:$J,0))),"")</f>
      </c>
      <c r="F17" s="79">
        <f t="array" ref="F17">IFERROR(IF(B17="","",INDEX('02_DS_Nhan_Viec'!$H:$H,MATCH(B17,'02_DS_Nhan_Viec'!$J:$J,0))),"")</f>
      </c>
      <c r="G17" s="79">
        <f t="array" ref="G17">IFERROR(IF(B17="","",INDEX('02_DS_Nhan_Viec'!$I:$I,MATCH(B17,'02_DS_Nhan_Viec'!$J:$J,0))),"")</f>
      </c>
      <c r="H17" s="79">
        <f t="array" ref="H17">IF(B17="","",IFERROR(IF(INDEX('03_Ho_So_Nhan_Vien'!$M:$M,MATCH(B17,'03_Ho_So_Nhan_Vien'!$C:$C,0))=0,"",INDEX('03_Ho_So_Nhan_Vien'!$M:$M,MATCH(B17,'03_Ho_So_Nhan_Vien'!$C:$C,0))),""))</f>
      </c>
      <c r="I17" s="78"/>
      <c r="J17" s="78"/>
      <c r="K17" s="78"/>
    </row>
    <row r="18" ht="14.25" customHeight="1" spans="1:11" x14ac:dyDescent="0.25">
      <c r="A18" s="79">
        <f>IFERROR(IF(ISNUMBER(MATCH(17,'05_Theo_Doi_Gio_Cong_7_Ngay'!$O:$O,0)),17,""),"")</f>
      </c>
      <c r="B18" s="87">
        <f t="array" ref="B18">IFERROR(IF(A18="","",INDEX('05_Theo_Doi_Gio_Cong_7_Ngay'!$B:$B,MATCH(17,'05_Theo_Doi_Gio_Cong_7_Ngay'!$O:$O,0))),"")</f>
      </c>
      <c r="C18" s="79">
        <f t="array" ref="C18">IFERROR(IF(A18="","",INDEX('05_Theo_Doi_Gio_Cong_7_Ngay'!$C:$C,MATCH(17,'05_Theo_Doi_Gio_Cong_7_Ngay'!$O:$O,0))),"")</f>
      </c>
      <c r="D18" s="80">
        <f t="array" ref="D18">IFERROR(IF(A18="","",INDEX('05_Theo_Doi_Gio_Cong_7_Ngay'!$D:$D,MATCH(17,'05_Theo_Doi_Gio_Cong_7_Ngay'!$O:$O,0))),"")</f>
      </c>
      <c r="E18" s="80">
        <f t="array" ref="E18">IFERROR(IF(B18="","",INDEX('02_DS_Nhan_Viec'!$G:$G,MATCH(B18,'02_DS_Nhan_Viec'!$J:$J,0))),"")</f>
      </c>
      <c r="F18" s="79">
        <f t="array" ref="F18">IFERROR(IF(B18="","",INDEX('02_DS_Nhan_Viec'!$H:$H,MATCH(B18,'02_DS_Nhan_Viec'!$J:$J,0))),"")</f>
      </c>
      <c r="G18" s="79">
        <f t="array" ref="G18">IFERROR(IF(B18="","",INDEX('02_DS_Nhan_Viec'!$I:$I,MATCH(B18,'02_DS_Nhan_Viec'!$J:$J,0))),"")</f>
      </c>
      <c r="H18" s="79">
        <f t="array" ref="H18">IF(B18="","",IFERROR(IF(INDEX('03_Ho_So_Nhan_Vien'!$M:$M,MATCH(B18,'03_Ho_So_Nhan_Vien'!$C:$C,0))=0,"",INDEX('03_Ho_So_Nhan_Vien'!$M:$M,MATCH(B18,'03_Ho_So_Nhan_Vien'!$C:$C,0))),""))</f>
      </c>
      <c r="I18" s="78"/>
      <c r="J18" s="78"/>
      <c r="K18" s="78"/>
    </row>
    <row r="19" ht="14.25" customHeight="1" spans="1:11" x14ac:dyDescent="0.25">
      <c r="A19" s="79">
        <f>IFERROR(IF(ISNUMBER(MATCH(18,'05_Theo_Doi_Gio_Cong_7_Ngay'!$O:$O,0)),18,""),"")</f>
      </c>
      <c r="B19" s="87">
        <f t="array" ref="B19">IFERROR(IF(A19="","",INDEX('05_Theo_Doi_Gio_Cong_7_Ngay'!$B:$B,MATCH(18,'05_Theo_Doi_Gio_Cong_7_Ngay'!$O:$O,0))),"")</f>
      </c>
      <c r="C19" s="79">
        <f t="array" ref="C19">IFERROR(IF(A19="","",INDEX('05_Theo_Doi_Gio_Cong_7_Ngay'!$C:$C,MATCH(18,'05_Theo_Doi_Gio_Cong_7_Ngay'!$O:$O,0))),"")</f>
      </c>
      <c r="D19" s="80">
        <f t="array" ref="D19">IFERROR(IF(A19="","",INDEX('05_Theo_Doi_Gio_Cong_7_Ngay'!$D:$D,MATCH(18,'05_Theo_Doi_Gio_Cong_7_Ngay'!$O:$O,0))),"")</f>
      </c>
      <c r="E19" s="80">
        <f t="array" ref="E19">IFERROR(IF(B19="","",INDEX('02_DS_Nhan_Viec'!$G:$G,MATCH(B19,'02_DS_Nhan_Viec'!$J:$J,0))),"")</f>
      </c>
      <c r="F19" s="79">
        <f t="array" ref="F19">IFERROR(IF(B19="","",INDEX('02_DS_Nhan_Viec'!$H:$H,MATCH(B19,'02_DS_Nhan_Viec'!$J:$J,0))),"")</f>
      </c>
      <c r="G19" s="79">
        <f t="array" ref="G19">IFERROR(IF(B19="","",INDEX('02_DS_Nhan_Viec'!$I:$I,MATCH(B19,'02_DS_Nhan_Viec'!$J:$J,0))),"")</f>
      </c>
      <c r="H19" s="79">
        <f t="array" ref="H19">IF(B19="","",IFERROR(IF(INDEX('03_Ho_So_Nhan_Vien'!$M:$M,MATCH(B19,'03_Ho_So_Nhan_Vien'!$C:$C,0))=0,"",INDEX('03_Ho_So_Nhan_Vien'!$M:$M,MATCH(B19,'03_Ho_So_Nhan_Vien'!$C:$C,0))),""))</f>
      </c>
      <c r="I19" s="78"/>
      <c r="J19" s="78"/>
      <c r="K19" s="78"/>
    </row>
    <row r="20" ht="14.25" customHeight="1" spans="1:11" x14ac:dyDescent="0.25">
      <c r="A20" s="79">
        <f>IFERROR(IF(ISNUMBER(MATCH(19,'05_Theo_Doi_Gio_Cong_7_Ngay'!$O:$O,0)),19,""),"")</f>
      </c>
      <c r="B20" s="87">
        <f t="array" ref="B20">IFERROR(IF(A20="","",INDEX('05_Theo_Doi_Gio_Cong_7_Ngay'!$B:$B,MATCH(19,'05_Theo_Doi_Gio_Cong_7_Ngay'!$O:$O,0))),"")</f>
      </c>
      <c r="C20" s="79">
        <f t="array" ref="C20">IFERROR(IF(A20="","",INDEX('05_Theo_Doi_Gio_Cong_7_Ngay'!$C:$C,MATCH(19,'05_Theo_Doi_Gio_Cong_7_Ngay'!$O:$O,0))),"")</f>
      </c>
      <c r="D20" s="80">
        <f t="array" ref="D20">IFERROR(IF(A20="","",INDEX('05_Theo_Doi_Gio_Cong_7_Ngay'!$D:$D,MATCH(19,'05_Theo_Doi_Gio_Cong_7_Ngay'!$O:$O,0))),"")</f>
      </c>
      <c r="E20" s="80">
        <f t="array" ref="E20">IFERROR(IF(B20="","",INDEX('02_DS_Nhan_Viec'!$G:$G,MATCH(B20,'02_DS_Nhan_Viec'!$J:$J,0))),"")</f>
      </c>
      <c r="F20" s="79">
        <f t="array" ref="F20">IFERROR(IF(B20="","",INDEX('02_DS_Nhan_Viec'!$H:$H,MATCH(B20,'02_DS_Nhan_Viec'!$J:$J,0))),"")</f>
      </c>
      <c r="G20" s="79">
        <f t="array" ref="G20">IFERROR(IF(B20="","",INDEX('02_DS_Nhan_Viec'!$I:$I,MATCH(B20,'02_DS_Nhan_Viec'!$J:$J,0))),"")</f>
      </c>
      <c r="H20" s="79">
        <f t="array" ref="H20">IF(B20="","",IFERROR(IF(INDEX('03_Ho_So_Nhan_Vien'!$M:$M,MATCH(B20,'03_Ho_So_Nhan_Vien'!$C:$C,0))=0,"",INDEX('03_Ho_So_Nhan_Vien'!$M:$M,MATCH(B20,'03_Ho_So_Nhan_Vien'!$C:$C,0))),""))</f>
      </c>
      <c r="I20" s="78"/>
      <c r="J20" s="78"/>
      <c r="K20" s="78"/>
    </row>
    <row r="21" ht="14.25" customHeight="1" spans="1:11" x14ac:dyDescent="0.25">
      <c r="A21" s="79">
        <f>IFERROR(IF(ISNUMBER(MATCH(20,'05_Theo_Doi_Gio_Cong_7_Ngay'!$O:$O,0)),20,""),"")</f>
      </c>
      <c r="B21" s="87">
        <f t="array" ref="B21">IFERROR(IF(A21="","",INDEX('05_Theo_Doi_Gio_Cong_7_Ngay'!$B:$B,MATCH(20,'05_Theo_Doi_Gio_Cong_7_Ngay'!$O:$O,0))),"")</f>
      </c>
      <c r="C21" s="79">
        <f t="array" ref="C21">IFERROR(IF(A21="","",INDEX('05_Theo_Doi_Gio_Cong_7_Ngay'!$C:$C,MATCH(20,'05_Theo_Doi_Gio_Cong_7_Ngay'!$O:$O,0))),"")</f>
      </c>
      <c r="D21" s="80">
        <f t="array" ref="D21">IFERROR(IF(A21="","",INDEX('05_Theo_Doi_Gio_Cong_7_Ngay'!$D:$D,MATCH(20,'05_Theo_Doi_Gio_Cong_7_Ngay'!$O:$O,0))),"")</f>
      </c>
      <c r="E21" s="80">
        <f t="array" ref="E21">IFERROR(IF(B21="","",INDEX('02_DS_Nhan_Viec'!$G:$G,MATCH(B21,'02_DS_Nhan_Viec'!$J:$J,0))),"")</f>
      </c>
      <c r="F21" s="79">
        <f t="array" ref="F21">IFERROR(IF(B21="","",INDEX('02_DS_Nhan_Viec'!$H:$H,MATCH(B21,'02_DS_Nhan_Viec'!$J:$J,0))),"")</f>
      </c>
      <c r="G21" s="79">
        <f t="array" ref="G21">IFERROR(IF(B21="","",INDEX('02_DS_Nhan_Viec'!$I:$I,MATCH(B21,'02_DS_Nhan_Viec'!$J:$J,0))),"")</f>
      </c>
      <c r="H21" s="79">
        <f t="array" ref="H21">IF(B21="","",IFERROR(IF(INDEX('03_Ho_So_Nhan_Vien'!$M:$M,MATCH(B21,'03_Ho_So_Nhan_Vien'!$C:$C,0))=0,"",INDEX('03_Ho_So_Nhan_Vien'!$M:$M,MATCH(B21,'03_Ho_So_Nhan_Vien'!$C:$C,0))),""))</f>
      </c>
      <c r="I21" s="78"/>
      <c r="J21" s="78"/>
      <c r="K21" s="78"/>
    </row>
    <row r="22" ht="14.25" customHeight="1" spans="1:11" x14ac:dyDescent="0.25">
      <c r="A22" s="79">
        <f>IFERROR(IF(ISNUMBER(MATCH(21,'05_Theo_Doi_Gio_Cong_7_Ngay'!$O:$O,0)),21,""),"")</f>
      </c>
      <c r="B22" s="87">
        <f t="array" ref="B22">IFERROR(IF(A22="","",INDEX('05_Theo_Doi_Gio_Cong_7_Ngay'!$B:$B,MATCH(21,'05_Theo_Doi_Gio_Cong_7_Ngay'!$O:$O,0))),"")</f>
      </c>
      <c r="C22" s="79">
        <f t="array" ref="C22">IFERROR(IF(A22="","",INDEX('05_Theo_Doi_Gio_Cong_7_Ngay'!$C:$C,MATCH(21,'05_Theo_Doi_Gio_Cong_7_Ngay'!$O:$O,0))),"")</f>
      </c>
      <c r="D22" s="80">
        <f t="array" ref="D22">IFERROR(IF(A22="","",INDEX('05_Theo_Doi_Gio_Cong_7_Ngay'!$D:$D,MATCH(21,'05_Theo_Doi_Gio_Cong_7_Ngay'!$O:$O,0))),"")</f>
      </c>
      <c r="E22" s="80">
        <f t="array" ref="E22">IFERROR(IF(B22="","",INDEX('02_DS_Nhan_Viec'!$G:$G,MATCH(B22,'02_DS_Nhan_Viec'!$J:$J,0))),"")</f>
      </c>
      <c r="F22" s="79">
        <f t="array" ref="F22">IFERROR(IF(B22="","",INDEX('02_DS_Nhan_Viec'!$H:$H,MATCH(B22,'02_DS_Nhan_Viec'!$J:$J,0))),"")</f>
      </c>
      <c r="G22" s="79">
        <f t="array" ref="G22">IFERROR(IF(B22="","",INDEX('02_DS_Nhan_Viec'!$I:$I,MATCH(B22,'02_DS_Nhan_Viec'!$J:$J,0))),"")</f>
      </c>
      <c r="H22" s="79">
        <f t="array" ref="H22">IF(B22="","",IFERROR(IF(INDEX('03_Ho_So_Nhan_Vien'!$M:$M,MATCH(B22,'03_Ho_So_Nhan_Vien'!$C:$C,0))=0,"",INDEX('03_Ho_So_Nhan_Vien'!$M:$M,MATCH(B22,'03_Ho_So_Nhan_Vien'!$C:$C,0))),""))</f>
      </c>
      <c r="I22" s="78"/>
      <c r="J22" s="78"/>
      <c r="K22" s="78"/>
    </row>
    <row r="23" ht="14.25" customHeight="1" spans="1:11" x14ac:dyDescent="0.25">
      <c r="A23" s="79">
        <f>IFERROR(IF(ISNUMBER(MATCH(22,'05_Theo_Doi_Gio_Cong_7_Ngay'!$O:$O,0)),22,""),"")</f>
      </c>
      <c r="B23" s="87">
        <f t="array" ref="B23">IFERROR(IF(A23="","",INDEX('05_Theo_Doi_Gio_Cong_7_Ngay'!$B:$B,MATCH(22,'05_Theo_Doi_Gio_Cong_7_Ngay'!$O:$O,0))),"")</f>
      </c>
      <c r="C23" s="79">
        <f t="array" ref="C23">IFERROR(IF(A23="","",INDEX('05_Theo_Doi_Gio_Cong_7_Ngay'!$C:$C,MATCH(22,'05_Theo_Doi_Gio_Cong_7_Ngay'!$O:$O,0))),"")</f>
      </c>
      <c r="D23" s="80">
        <f t="array" ref="D23">IFERROR(IF(A23="","",INDEX('05_Theo_Doi_Gio_Cong_7_Ngay'!$D:$D,MATCH(22,'05_Theo_Doi_Gio_Cong_7_Ngay'!$O:$O,0))),"")</f>
      </c>
      <c r="E23" s="80">
        <f t="array" ref="E23">IFERROR(IF(B23="","",INDEX('02_DS_Nhan_Viec'!$G:$G,MATCH(B23,'02_DS_Nhan_Viec'!$J:$J,0))),"")</f>
      </c>
      <c r="F23" s="79">
        <f t="array" ref="F23">IFERROR(IF(B23="","",INDEX('02_DS_Nhan_Viec'!$H:$H,MATCH(B23,'02_DS_Nhan_Viec'!$J:$J,0))),"")</f>
      </c>
      <c r="G23" s="79">
        <f t="array" ref="G23">IFERROR(IF(B23="","",INDEX('02_DS_Nhan_Viec'!$I:$I,MATCH(B23,'02_DS_Nhan_Viec'!$J:$J,0))),"")</f>
      </c>
      <c r="H23" s="79">
        <f t="array" ref="H23">IF(B23="","",IFERROR(IF(INDEX('03_Ho_So_Nhan_Vien'!$M:$M,MATCH(B23,'03_Ho_So_Nhan_Vien'!$C:$C,0))=0,"",INDEX('03_Ho_So_Nhan_Vien'!$M:$M,MATCH(B23,'03_Ho_So_Nhan_Vien'!$C:$C,0))),""))</f>
      </c>
      <c r="I23" s="78"/>
      <c r="J23" s="78"/>
      <c r="K23" s="78"/>
    </row>
    <row r="24" ht="14.25" customHeight="1" spans="1:11" x14ac:dyDescent="0.25">
      <c r="A24" s="79">
        <f>IFERROR(IF(ISNUMBER(MATCH(23,'05_Theo_Doi_Gio_Cong_7_Ngay'!$O:$O,0)),23,""),"")</f>
      </c>
      <c r="B24" s="87">
        <f t="array" ref="B24">IFERROR(IF(A24="","",INDEX('05_Theo_Doi_Gio_Cong_7_Ngay'!$B:$B,MATCH(23,'05_Theo_Doi_Gio_Cong_7_Ngay'!$O:$O,0))),"")</f>
      </c>
      <c r="C24" s="79">
        <f t="array" ref="C24">IFERROR(IF(A24="","",INDEX('05_Theo_Doi_Gio_Cong_7_Ngay'!$C:$C,MATCH(23,'05_Theo_Doi_Gio_Cong_7_Ngay'!$O:$O,0))),"")</f>
      </c>
      <c r="D24" s="80">
        <f t="array" ref="D24">IFERROR(IF(A24="","",INDEX('05_Theo_Doi_Gio_Cong_7_Ngay'!$D:$D,MATCH(23,'05_Theo_Doi_Gio_Cong_7_Ngay'!$O:$O,0))),"")</f>
      </c>
      <c r="E24" s="80">
        <f t="array" ref="E24">IFERROR(IF(B24="","",INDEX('02_DS_Nhan_Viec'!$G:$G,MATCH(B24,'02_DS_Nhan_Viec'!$J:$J,0))),"")</f>
      </c>
      <c r="F24" s="79">
        <f t="array" ref="F24">IFERROR(IF(B24="","",INDEX('02_DS_Nhan_Viec'!$H:$H,MATCH(B24,'02_DS_Nhan_Viec'!$J:$J,0))),"")</f>
      </c>
      <c r="G24" s="79">
        <f t="array" ref="G24">IFERROR(IF(B24="","",INDEX('02_DS_Nhan_Viec'!$I:$I,MATCH(B24,'02_DS_Nhan_Viec'!$J:$J,0))),"")</f>
      </c>
      <c r="H24" s="79">
        <f t="array" ref="H24">IF(B24="","",IFERROR(IF(INDEX('03_Ho_So_Nhan_Vien'!$M:$M,MATCH(B24,'03_Ho_So_Nhan_Vien'!$C:$C,0))=0,"",INDEX('03_Ho_So_Nhan_Vien'!$M:$M,MATCH(B24,'03_Ho_So_Nhan_Vien'!$C:$C,0))),""))</f>
      </c>
      <c r="I24" s="78"/>
      <c r="J24" s="78"/>
      <c r="K24" s="78"/>
    </row>
    <row r="25" ht="14.25" customHeight="1" spans="1:11" x14ac:dyDescent="0.25">
      <c r="A25" s="79">
        <f>IFERROR(IF(ISNUMBER(MATCH(24,'05_Theo_Doi_Gio_Cong_7_Ngay'!$O:$O,0)),24,""),"")</f>
      </c>
      <c r="B25" s="87">
        <f t="array" ref="B25">IFERROR(IF(A25="","",INDEX('05_Theo_Doi_Gio_Cong_7_Ngay'!$B:$B,MATCH(24,'05_Theo_Doi_Gio_Cong_7_Ngay'!$O:$O,0))),"")</f>
      </c>
      <c r="C25" s="79">
        <f t="array" ref="C25">IFERROR(IF(A25="","",INDEX('05_Theo_Doi_Gio_Cong_7_Ngay'!$C:$C,MATCH(24,'05_Theo_Doi_Gio_Cong_7_Ngay'!$O:$O,0))),"")</f>
      </c>
      <c r="D25" s="80">
        <f t="array" ref="D25">IFERROR(IF(A25="","",INDEX('05_Theo_Doi_Gio_Cong_7_Ngay'!$D:$D,MATCH(24,'05_Theo_Doi_Gio_Cong_7_Ngay'!$O:$O,0))),"")</f>
      </c>
      <c r="E25" s="80">
        <f t="array" ref="E25">IFERROR(IF(B25="","",INDEX('02_DS_Nhan_Viec'!$G:$G,MATCH(B25,'02_DS_Nhan_Viec'!$J:$J,0))),"")</f>
      </c>
      <c r="F25" s="79">
        <f t="array" ref="F25">IFERROR(IF(B25="","",INDEX('02_DS_Nhan_Viec'!$H:$H,MATCH(B25,'02_DS_Nhan_Viec'!$J:$J,0))),"")</f>
      </c>
      <c r="G25" s="79">
        <f t="array" ref="G25">IFERROR(IF(B25="","",INDEX('02_DS_Nhan_Viec'!$I:$I,MATCH(B25,'02_DS_Nhan_Viec'!$J:$J,0))),"")</f>
      </c>
      <c r="H25" s="79">
        <f t="array" ref="H25">IF(B25="","",IFERROR(IF(INDEX('03_Ho_So_Nhan_Vien'!$M:$M,MATCH(B25,'03_Ho_So_Nhan_Vien'!$C:$C,0))=0,"",INDEX('03_Ho_So_Nhan_Vien'!$M:$M,MATCH(B25,'03_Ho_So_Nhan_Vien'!$C:$C,0))),""))</f>
      </c>
      <c r="I25" s="78"/>
      <c r="J25" s="78"/>
      <c r="K25" s="78"/>
    </row>
    <row r="26" ht="14.25" customHeight="1" spans="1:11" x14ac:dyDescent="0.25">
      <c r="A26" s="79">
        <f>IFERROR(IF(ISNUMBER(MATCH(25,'05_Theo_Doi_Gio_Cong_7_Ngay'!$O:$O,0)),25,""),"")</f>
      </c>
      <c r="B26" s="87">
        <f t="array" ref="B26">IFERROR(IF(A26="","",INDEX('05_Theo_Doi_Gio_Cong_7_Ngay'!$B:$B,MATCH(25,'05_Theo_Doi_Gio_Cong_7_Ngay'!$O:$O,0))),"")</f>
      </c>
      <c r="C26" s="79">
        <f t="array" ref="C26">IFERROR(IF(A26="","",INDEX('05_Theo_Doi_Gio_Cong_7_Ngay'!$C:$C,MATCH(25,'05_Theo_Doi_Gio_Cong_7_Ngay'!$O:$O,0))),"")</f>
      </c>
      <c r="D26" s="80">
        <f t="array" ref="D26">IFERROR(IF(A26="","",INDEX('05_Theo_Doi_Gio_Cong_7_Ngay'!$D:$D,MATCH(25,'05_Theo_Doi_Gio_Cong_7_Ngay'!$O:$O,0))),"")</f>
      </c>
      <c r="E26" s="80">
        <f t="array" ref="E26">IFERROR(IF(B26="","",INDEX('02_DS_Nhan_Viec'!$G:$G,MATCH(B26,'02_DS_Nhan_Viec'!$J:$J,0))),"")</f>
      </c>
      <c r="F26" s="79">
        <f t="array" ref="F26">IFERROR(IF(B26="","",INDEX('02_DS_Nhan_Viec'!$H:$H,MATCH(B26,'02_DS_Nhan_Viec'!$J:$J,0))),"")</f>
      </c>
      <c r="G26" s="79">
        <f t="array" ref="G26">IFERROR(IF(B26="","",INDEX('02_DS_Nhan_Viec'!$I:$I,MATCH(B26,'02_DS_Nhan_Viec'!$J:$J,0))),"")</f>
      </c>
      <c r="H26" s="79">
        <f t="array" ref="H26">IF(B26="","",IFERROR(IF(INDEX('03_Ho_So_Nhan_Vien'!$M:$M,MATCH(B26,'03_Ho_So_Nhan_Vien'!$C:$C,0))=0,"",INDEX('03_Ho_So_Nhan_Vien'!$M:$M,MATCH(B26,'03_Ho_So_Nhan_Vien'!$C:$C,0))),""))</f>
      </c>
      <c r="I26" s="78"/>
      <c r="J26" s="78"/>
      <c r="K26" s="78"/>
    </row>
    <row r="27" ht="14.25" customHeight="1" spans="1:11" x14ac:dyDescent="0.25">
      <c r="A27" s="79">
        <f>IFERROR(IF(ISNUMBER(MATCH(26,'05_Theo_Doi_Gio_Cong_7_Ngay'!$O:$O,0)),26,""),"")</f>
      </c>
      <c r="B27" s="87">
        <f t="array" ref="B27">IFERROR(IF(A27="","",INDEX('05_Theo_Doi_Gio_Cong_7_Ngay'!$B:$B,MATCH(26,'05_Theo_Doi_Gio_Cong_7_Ngay'!$O:$O,0))),"")</f>
      </c>
      <c r="C27" s="79">
        <f t="array" ref="C27">IFERROR(IF(A27="","",INDEX('05_Theo_Doi_Gio_Cong_7_Ngay'!$C:$C,MATCH(26,'05_Theo_Doi_Gio_Cong_7_Ngay'!$O:$O,0))),"")</f>
      </c>
      <c r="D27" s="80">
        <f t="array" ref="D27">IFERROR(IF(A27="","",INDEX('05_Theo_Doi_Gio_Cong_7_Ngay'!$D:$D,MATCH(26,'05_Theo_Doi_Gio_Cong_7_Ngay'!$O:$O,0))),"")</f>
      </c>
      <c r="E27" s="80">
        <f t="array" ref="E27">IFERROR(IF(B27="","",INDEX('02_DS_Nhan_Viec'!$G:$G,MATCH(B27,'02_DS_Nhan_Viec'!$J:$J,0))),"")</f>
      </c>
      <c r="F27" s="79">
        <f t="array" ref="F27">IFERROR(IF(B27="","",INDEX('02_DS_Nhan_Viec'!$H:$H,MATCH(B27,'02_DS_Nhan_Viec'!$J:$J,0))),"")</f>
      </c>
      <c r="G27" s="79">
        <f t="array" ref="G27">IFERROR(IF(B27="","",INDEX('02_DS_Nhan_Viec'!$I:$I,MATCH(B27,'02_DS_Nhan_Viec'!$J:$J,0))),"")</f>
      </c>
      <c r="H27" s="79">
        <f t="array" ref="H27">IF(B27="","",IFERROR(IF(INDEX('03_Ho_So_Nhan_Vien'!$M:$M,MATCH(B27,'03_Ho_So_Nhan_Vien'!$C:$C,0))=0,"",INDEX('03_Ho_So_Nhan_Vien'!$M:$M,MATCH(B27,'03_Ho_So_Nhan_Vien'!$C:$C,0))),""))</f>
      </c>
      <c r="I27" s="78"/>
      <c r="J27" s="78"/>
      <c r="K27" s="78"/>
    </row>
    <row r="28" ht="14.25" customHeight="1" spans="1:11" x14ac:dyDescent="0.25">
      <c r="A28" s="79">
        <f>IFERROR(IF(ISNUMBER(MATCH(27,'05_Theo_Doi_Gio_Cong_7_Ngay'!$O:$O,0)),27,""),"")</f>
      </c>
      <c r="B28" s="87">
        <f t="array" ref="B28">IFERROR(IF(A28="","",INDEX('05_Theo_Doi_Gio_Cong_7_Ngay'!$B:$B,MATCH(27,'05_Theo_Doi_Gio_Cong_7_Ngay'!$O:$O,0))),"")</f>
      </c>
      <c r="C28" s="79">
        <f t="array" ref="C28">IFERROR(IF(A28="","",INDEX('05_Theo_Doi_Gio_Cong_7_Ngay'!$C:$C,MATCH(27,'05_Theo_Doi_Gio_Cong_7_Ngay'!$O:$O,0))),"")</f>
      </c>
      <c r="D28" s="80">
        <f t="array" ref="D28">IFERROR(IF(A28="","",INDEX('05_Theo_Doi_Gio_Cong_7_Ngay'!$D:$D,MATCH(27,'05_Theo_Doi_Gio_Cong_7_Ngay'!$O:$O,0))),"")</f>
      </c>
      <c r="E28" s="80">
        <f t="array" ref="E28">IFERROR(IF(B28="","",INDEX('02_DS_Nhan_Viec'!$G:$G,MATCH(B28,'02_DS_Nhan_Viec'!$J:$J,0))),"")</f>
      </c>
      <c r="F28" s="79">
        <f t="array" ref="F28">IFERROR(IF(B28="","",INDEX('02_DS_Nhan_Viec'!$H:$H,MATCH(B28,'02_DS_Nhan_Viec'!$J:$J,0))),"")</f>
      </c>
      <c r="G28" s="79">
        <f t="array" ref="G28">IFERROR(IF(B28="","",INDEX('02_DS_Nhan_Viec'!$I:$I,MATCH(B28,'02_DS_Nhan_Viec'!$J:$J,0))),"")</f>
      </c>
      <c r="H28" s="79">
        <f t="array" ref="H28">IF(B28="","",IFERROR(IF(INDEX('03_Ho_So_Nhan_Vien'!$M:$M,MATCH(B28,'03_Ho_So_Nhan_Vien'!$C:$C,0))=0,"",INDEX('03_Ho_So_Nhan_Vien'!$M:$M,MATCH(B28,'03_Ho_So_Nhan_Vien'!$C:$C,0))),""))</f>
      </c>
      <c r="I28" s="78"/>
      <c r="J28" s="78"/>
      <c r="K28" s="78"/>
    </row>
    <row r="29" ht="14.25" customHeight="1" spans="1:11" x14ac:dyDescent="0.25">
      <c r="A29" s="79">
        <f>IFERROR(IF(ISNUMBER(MATCH(28,'05_Theo_Doi_Gio_Cong_7_Ngay'!$O:$O,0)),28,""),"")</f>
      </c>
      <c r="B29" s="87">
        <f t="array" ref="B29">IFERROR(IF(A29="","",INDEX('05_Theo_Doi_Gio_Cong_7_Ngay'!$B:$B,MATCH(28,'05_Theo_Doi_Gio_Cong_7_Ngay'!$O:$O,0))),"")</f>
      </c>
      <c r="C29" s="79">
        <f t="array" ref="C29">IFERROR(IF(A29="","",INDEX('05_Theo_Doi_Gio_Cong_7_Ngay'!$C:$C,MATCH(28,'05_Theo_Doi_Gio_Cong_7_Ngay'!$O:$O,0))),"")</f>
      </c>
      <c r="D29" s="80">
        <f t="array" ref="D29">IFERROR(IF(A29="","",INDEX('05_Theo_Doi_Gio_Cong_7_Ngay'!$D:$D,MATCH(28,'05_Theo_Doi_Gio_Cong_7_Ngay'!$O:$O,0))),"")</f>
      </c>
      <c r="E29" s="80">
        <f t="array" ref="E29">IFERROR(IF(B29="","",INDEX('02_DS_Nhan_Viec'!$G:$G,MATCH(B29,'02_DS_Nhan_Viec'!$J:$J,0))),"")</f>
      </c>
      <c r="F29" s="79">
        <f t="array" ref="F29">IFERROR(IF(B29="","",INDEX('02_DS_Nhan_Viec'!$H:$H,MATCH(B29,'02_DS_Nhan_Viec'!$J:$J,0))),"")</f>
      </c>
      <c r="G29" s="79">
        <f t="array" ref="G29">IFERROR(IF(B29="","",INDEX('02_DS_Nhan_Viec'!$I:$I,MATCH(B29,'02_DS_Nhan_Viec'!$J:$J,0))),"")</f>
      </c>
      <c r="H29" s="79">
        <f t="array" ref="H29">IF(B29="","",IFERROR(IF(INDEX('03_Ho_So_Nhan_Vien'!$M:$M,MATCH(B29,'03_Ho_So_Nhan_Vien'!$C:$C,0))=0,"",INDEX('03_Ho_So_Nhan_Vien'!$M:$M,MATCH(B29,'03_Ho_So_Nhan_Vien'!$C:$C,0))),""))</f>
      </c>
      <c r="I29" s="78"/>
      <c r="J29" s="78"/>
      <c r="K29" s="78"/>
    </row>
    <row r="30" ht="14.25" customHeight="1" spans="1:11" x14ac:dyDescent="0.25">
      <c r="A30" s="79">
        <f>IFERROR(IF(ISNUMBER(MATCH(29,'05_Theo_Doi_Gio_Cong_7_Ngay'!$O:$O,0)),29,""),"")</f>
      </c>
      <c r="B30" s="87">
        <f t="array" ref="B30">IFERROR(IF(A30="","",INDEX('05_Theo_Doi_Gio_Cong_7_Ngay'!$B:$B,MATCH(29,'05_Theo_Doi_Gio_Cong_7_Ngay'!$O:$O,0))),"")</f>
      </c>
      <c r="C30" s="79">
        <f t="array" ref="C30">IFERROR(IF(A30="","",INDEX('05_Theo_Doi_Gio_Cong_7_Ngay'!$C:$C,MATCH(29,'05_Theo_Doi_Gio_Cong_7_Ngay'!$O:$O,0))),"")</f>
      </c>
      <c r="D30" s="80">
        <f t="array" ref="D30">IFERROR(IF(A30="","",INDEX('05_Theo_Doi_Gio_Cong_7_Ngay'!$D:$D,MATCH(29,'05_Theo_Doi_Gio_Cong_7_Ngay'!$O:$O,0))),"")</f>
      </c>
      <c r="E30" s="80">
        <f t="array" ref="E30">IFERROR(IF(B30="","",INDEX('02_DS_Nhan_Viec'!$G:$G,MATCH(B30,'02_DS_Nhan_Viec'!$J:$J,0))),"")</f>
      </c>
      <c r="F30" s="79">
        <f t="array" ref="F30">IFERROR(IF(B30="","",INDEX('02_DS_Nhan_Viec'!$H:$H,MATCH(B30,'02_DS_Nhan_Viec'!$J:$J,0))),"")</f>
      </c>
      <c r="G30" s="79">
        <f t="array" ref="G30">IFERROR(IF(B30="","",INDEX('02_DS_Nhan_Viec'!$I:$I,MATCH(B30,'02_DS_Nhan_Viec'!$J:$J,0))),"")</f>
      </c>
      <c r="H30" s="79">
        <f t="array" ref="H30">IF(B30="","",IFERROR(IF(INDEX('03_Ho_So_Nhan_Vien'!$M:$M,MATCH(B30,'03_Ho_So_Nhan_Vien'!$C:$C,0))=0,"",INDEX('03_Ho_So_Nhan_Vien'!$M:$M,MATCH(B30,'03_Ho_So_Nhan_Vien'!$C:$C,0))),""))</f>
      </c>
      <c r="I30" s="78"/>
      <c r="J30" s="78"/>
      <c r="K30" s="78"/>
    </row>
    <row r="31" ht="14.25" customHeight="1" spans="1:11" x14ac:dyDescent="0.25">
      <c r="A31" s="79">
        <f>IFERROR(IF(ISNUMBER(MATCH(30,'05_Theo_Doi_Gio_Cong_7_Ngay'!$O:$O,0)),30,""),"")</f>
      </c>
      <c r="B31" s="87">
        <f t="array" ref="B31">IFERROR(IF(A31="","",INDEX('05_Theo_Doi_Gio_Cong_7_Ngay'!$B:$B,MATCH(30,'05_Theo_Doi_Gio_Cong_7_Ngay'!$O:$O,0))),"")</f>
      </c>
      <c r="C31" s="79">
        <f t="array" ref="C31">IFERROR(IF(A31="","",INDEX('05_Theo_Doi_Gio_Cong_7_Ngay'!$C:$C,MATCH(30,'05_Theo_Doi_Gio_Cong_7_Ngay'!$O:$O,0))),"")</f>
      </c>
      <c r="D31" s="80">
        <f t="array" ref="D31">IFERROR(IF(A31="","",INDEX('05_Theo_Doi_Gio_Cong_7_Ngay'!$D:$D,MATCH(30,'05_Theo_Doi_Gio_Cong_7_Ngay'!$O:$O,0))),"")</f>
      </c>
      <c r="E31" s="80">
        <f t="array" ref="E31">IFERROR(IF(B31="","",INDEX('02_DS_Nhan_Viec'!$G:$G,MATCH(B31,'02_DS_Nhan_Viec'!$J:$J,0))),"")</f>
      </c>
      <c r="F31" s="79">
        <f t="array" ref="F31">IFERROR(IF(B31="","",INDEX('02_DS_Nhan_Viec'!$H:$H,MATCH(B31,'02_DS_Nhan_Viec'!$J:$J,0))),"")</f>
      </c>
      <c r="G31" s="79">
        <f t="array" ref="G31">IFERROR(IF(B31="","",INDEX('02_DS_Nhan_Viec'!$I:$I,MATCH(B31,'02_DS_Nhan_Viec'!$J:$J,0))),"")</f>
      </c>
      <c r="H31" s="79">
        <f t="array" ref="H31">IF(B31="","",IFERROR(IF(INDEX('03_Ho_So_Nhan_Vien'!$M:$M,MATCH(B31,'03_Ho_So_Nhan_Vien'!$C:$C,0))=0,"",INDEX('03_Ho_So_Nhan_Vien'!$M:$M,MATCH(B31,'03_Ho_So_Nhan_Vien'!$C:$C,0))),""))</f>
      </c>
      <c r="I31" s="78"/>
      <c r="J31" s="78"/>
      <c r="K31" s="78"/>
    </row>
    <row r="32" ht="14.25" customHeight="1" spans="1:11" x14ac:dyDescent="0.25">
      <c r="A32" s="79">
        <f>IFERROR(IF(ISNUMBER(MATCH(31,'05_Theo_Doi_Gio_Cong_7_Ngay'!$O:$O,0)),31,""),"")</f>
      </c>
      <c r="B32" s="87">
        <f t="array" ref="B32">IFERROR(IF(A32="","",INDEX('05_Theo_Doi_Gio_Cong_7_Ngay'!$B:$B,MATCH(31,'05_Theo_Doi_Gio_Cong_7_Ngay'!$O:$O,0))),"")</f>
      </c>
      <c r="C32" s="79">
        <f t="array" ref="C32">IFERROR(IF(A32="","",INDEX('05_Theo_Doi_Gio_Cong_7_Ngay'!$C:$C,MATCH(31,'05_Theo_Doi_Gio_Cong_7_Ngay'!$O:$O,0))),"")</f>
      </c>
      <c r="D32" s="80">
        <f t="array" ref="D32">IFERROR(IF(A32="","",INDEX('05_Theo_Doi_Gio_Cong_7_Ngay'!$D:$D,MATCH(31,'05_Theo_Doi_Gio_Cong_7_Ngay'!$O:$O,0))),"")</f>
      </c>
      <c r="E32" s="80">
        <f t="array" ref="E32">IFERROR(IF(B32="","",INDEX('02_DS_Nhan_Viec'!$G:$G,MATCH(B32,'02_DS_Nhan_Viec'!$J:$J,0))),"")</f>
      </c>
      <c r="F32" s="79">
        <f t="array" ref="F32">IFERROR(IF(B32="","",INDEX('02_DS_Nhan_Viec'!$H:$H,MATCH(B32,'02_DS_Nhan_Viec'!$J:$J,0))),"")</f>
      </c>
      <c r="G32" s="79">
        <f t="array" ref="G32">IFERROR(IF(B32="","",INDEX('02_DS_Nhan_Viec'!$I:$I,MATCH(B32,'02_DS_Nhan_Viec'!$J:$J,0))),"")</f>
      </c>
      <c r="H32" s="79">
        <f t="array" ref="H32">IF(B32="","",IFERROR(IF(INDEX('03_Ho_So_Nhan_Vien'!$M:$M,MATCH(B32,'03_Ho_So_Nhan_Vien'!$C:$C,0))=0,"",INDEX('03_Ho_So_Nhan_Vien'!$M:$M,MATCH(B32,'03_Ho_So_Nhan_Vien'!$C:$C,0))),""))</f>
      </c>
      <c r="I32" s="78"/>
      <c r="J32" s="78"/>
      <c r="K32" s="78"/>
    </row>
    <row r="33" ht="14.25" customHeight="1" spans="1:11" x14ac:dyDescent="0.25">
      <c r="A33" s="79">
        <f>IFERROR(IF(ISNUMBER(MATCH(32,'05_Theo_Doi_Gio_Cong_7_Ngay'!$O:$O,0)),32,""),"")</f>
      </c>
      <c r="B33" s="87">
        <f t="array" ref="B33">IFERROR(IF(A33="","",INDEX('05_Theo_Doi_Gio_Cong_7_Ngay'!$B:$B,MATCH(32,'05_Theo_Doi_Gio_Cong_7_Ngay'!$O:$O,0))),"")</f>
      </c>
      <c r="C33" s="79">
        <f t="array" ref="C33">IFERROR(IF(A33="","",INDEX('05_Theo_Doi_Gio_Cong_7_Ngay'!$C:$C,MATCH(32,'05_Theo_Doi_Gio_Cong_7_Ngay'!$O:$O,0))),"")</f>
      </c>
      <c r="D33" s="80">
        <f t="array" ref="D33">IFERROR(IF(A33="","",INDEX('05_Theo_Doi_Gio_Cong_7_Ngay'!$D:$D,MATCH(32,'05_Theo_Doi_Gio_Cong_7_Ngay'!$O:$O,0))),"")</f>
      </c>
      <c r="E33" s="80">
        <f t="array" ref="E33">IFERROR(IF(B33="","",INDEX('02_DS_Nhan_Viec'!$G:$G,MATCH(B33,'02_DS_Nhan_Viec'!$J:$J,0))),"")</f>
      </c>
      <c r="F33" s="79">
        <f t="array" ref="F33">IFERROR(IF(B33="","",INDEX('02_DS_Nhan_Viec'!$H:$H,MATCH(B33,'02_DS_Nhan_Viec'!$J:$J,0))),"")</f>
      </c>
      <c r="G33" s="79">
        <f t="array" ref="G33">IFERROR(IF(B33="","",INDEX('02_DS_Nhan_Viec'!$I:$I,MATCH(B33,'02_DS_Nhan_Viec'!$J:$J,0))),"")</f>
      </c>
      <c r="H33" s="79">
        <f t="array" ref="H33">IF(B33="","",IFERROR(IF(INDEX('03_Ho_So_Nhan_Vien'!$M:$M,MATCH(B33,'03_Ho_So_Nhan_Vien'!$C:$C,0))=0,"",INDEX('03_Ho_So_Nhan_Vien'!$M:$M,MATCH(B33,'03_Ho_So_Nhan_Vien'!$C:$C,0))),""))</f>
      </c>
      <c r="I33" s="78"/>
      <c r="J33" s="78"/>
      <c r="K33" s="78"/>
    </row>
    <row r="34" ht="14.25" customHeight="1" spans="1:11" x14ac:dyDescent="0.25">
      <c r="A34" s="79">
        <f>IFERROR(IF(ISNUMBER(MATCH(33,'05_Theo_Doi_Gio_Cong_7_Ngay'!$O:$O,0)),33,""),"")</f>
      </c>
      <c r="B34" s="87">
        <f t="array" ref="B34">IFERROR(IF(A34="","",INDEX('05_Theo_Doi_Gio_Cong_7_Ngay'!$B:$B,MATCH(33,'05_Theo_Doi_Gio_Cong_7_Ngay'!$O:$O,0))),"")</f>
      </c>
      <c r="C34" s="79">
        <f t="array" ref="C34">IFERROR(IF(A34="","",INDEX('05_Theo_Doi_Gio_Cong_7_Ngay'!$C:$C,MATCH(33,'05_Theo_Doi_Gio_Cong_7_Ngay'!$O:$O,0))),"")</f>
      </c>
      <c r="D34" s="80">
        <f t="array" ref="D34">IFERROR(IF(A34="","",INDEX('05_Theo_Doi_Gio_Cong_7_Ngay'!$D:$D,MATCH(33,'05_Theo_Doi_Gio_Cong_7_Ngay'!$O:$O,0))),"")</f>
      </c>
      <c r="E34" s="80">
        <f t="array" ref="E34">IFERROR(IF(B34="","",INDEX('02_DS_Nhan_Viec'!$G:$G,MATCH(B34,'02_DS_Nhan_Viec'!$J:$J,0))),"")</f>
      </c>
      <c r="F34" s="79">
        <f t="array" ref="F34">IFERROR(IF(B34="","",INDEX('02_DS_Nhan_Viec'!$H:$H,MATCH(B34,'02_DS_Nhan_Viec'!$J:$J,0))),"")</f>
      </c>
      <c r="G34" s="79">
        <f t="array" ref="G34">IFERROR(IF(B34="","",INDEX('02_DS_Nhan_Viec'!$I:$I,MATCH(B34,'02_DS_Nhan_Viec'!$J:$J,0))),"")</f>
      </c>
      <c r="H34" s="79">
        <f t="array" ref="H34">IF(B34="","",IFERROR(IF(INDEX('03_Ho_So_Nhan_Vien'!$M:$M,MATCH(B34,'03_Ho_So_Nhan_Vien'!$C:$C,0))=0,"",INDEX('03_Ho_So_Nhan_Vien'!$M:$M,MATCH(B34,'03_Ho_So_Nhan_Vien'!$C:$C,0))),""))</f>
      </c>
      <c r="I34" s="78"/>
      <c r="J34" s="78"/>
      <c r="K34" s="78"/>
    </row>
    <row r="35" ht="14.25" customHeight="1" spans="1:11" x14ac:dyDescent="0.25">
      <c r="A35" s="79">
        <f>IFERROR(IF(ISNUMBER(MATCH(34,'05_Theo_Doi_Gio_Cong_7_Ngay'!$O:$O,0)),34,""),"")</f>
      </c>
      <c r="B35" s="87">
        <f t="array" ref="B35">IFERROR(IF(A35="","",INDEX('05_Theo_Doi_Gio_Cong_7_Ngay'!$B:$B,MATCH(34,'05_Theo_Doi_Gio_Cong_7_Ngay'!$O:$O,0))),"")</f>
      </c>
      <c r="C35" s="79">
        <f t="array" ref="C35">IFERROR(IF(A35="","",INDEX('05_Theo_Doi_Gio_Cong_7_Ngay'!$C:$C,MATCH(34,'05_Theo_Doi_Gio_Cong_7_Ngay'!$O:$O,0))),"")</f>
      </c>
      <c r="D35" s="80">
        <f t="array" ref="D35">IFERROR(IF(A35="","",INDEX('05_Theo_Doi_Gio_Cong_7_Ngay'!$D:$D,MATCH(34,'05_Theo_Doi_Gio_Cong_7_Ngay'!$O:$O,0))),"")</f>
      </c>
      <c r="E35" s="80">
        <f t="array" ref="E35">IFERROR(IF(B35="","",INDEX('02_DS_Nhan_Viec'!$G:$G,MATCH(B35,'02_DS_Nhan_Viec'!$J:$J,0))),"")</f>
      </c>
      <c r="F35" s="79">
        <f t="array" ref="F35">IFERROR(IF(B35="","",INDEX('02_DS_Nhan_Viec'!$H:$H,MATCH(B35,'02_DS_Nhan_Viec'!$J:$J,0))),"")</f>
      </c>
      <c r="G35" s="79">
        <f t="array" ref="G35">IFERROR(IF(B35="","",INDEX('02_DS_Nhan_Viec'!$I:$I,MATCH(B35,'02_DS_Nhan_Viec'!$J:$J,0))),"")</f>
      </c>
      <c r="H35" s="79">
        <f t="array" ref="H35">IF(B35="","",IFERROR(IF(INDEX('03_Ho_So_Nhan_Vien'!$M:$M,MATCH(B35,'03_Ho_So_Nhan_Vien'!$C:$C,0))=0,"",INDEX('03_Ho_So_Nhan_Vien'!$M:$M,MATCH(B35,'03_Ho_So_Nhan_Vien'!$C:$C,0))),""))</f>
      </c>
      <c r="I35" s="78"/>
      <c r="J35" s="78"/>
      <c r="K35" s="78"/>
    </row>
    <row r="36" ht="14.25" customHeight="1" spans="1:11" x14ac:dyDescent="0.25">
      <c r="A36" s="79">
        <f>IFERROR(IF(ISNUMBER(MATCH(35,'05_Theo_Doi_Gio_Cong_7_Ngay'!$O:$O,0)),35,""),"")</f>
      </c>
      <c r="B36" s="87">
        <f t="array" ref="B36">IFERROR(IF(A36="","",INDEX('05_Theo_Doi_Gio_Cong_7_Ngay'!$B:$B,MATCH(35,'05_Theo_Doi_Gio_Cong_7_Ngay'!$O:$O,0))),"")</f>
      </c>
      <c r="C36" s="79">
        <f t="array" ref="C36">IFERROR(IF(A36="","",INDEX('05_Theo_Doi_Gio_Cong_7_Ngay'!$C:$C,MATCH(35,'05_Theo_Doi_Gio_Cong_7_Ngay'!$O:$O,0))),"")</f>
      </c>
      <c r="D36" s="80">
        <f t="array" ref="D36">IFERROR(IF(A36="","",INDEX('05_Theo_Doi_Gio_Cong_7_Ngay'!$D:$D,MATCH(35,'05_Theo_Doi_Gio_Cong_7_Ngay'!$O:$O,0))),"")</f>
      </c>
      <c r="E36" s="80">
        <f t="array" ref="E36">IFERROR(IF(B36="","",INDEX('02_DS_Nhan_Viec'!$G:$G,MATCH(B36,'02_DS_Nhan_Viec'!$J:$J,0))),"")</f>
      </c>
      <c r="F36" s="79">
        <f t="array" ref="F36">IFERROR(IF(B36="","",INDEX('02_DS_Nhan_Viec'!$H:$H,MATCH(B36,'02_DS_Nhan_Viec'!$J:$J,0))),"")</f>
      </c>
      <c r="G36" s="79">
        <f t="array" ref="G36">IFERROR(IF(B36="","",INDEX('02_DS_Nhan_Viec'!$I:$I,MATCH(B36,'02_DS_Nhan_Viec'!$J:$J,0))),"")</f>
      </c>
      <c r="H36" s="79">
        <f t="array" ref="H36">IF(B36="","",IFERROR(IF(INDEX('03_Ho_So_Nhan_Vien'!$M:$M,MATCH(B36,'03_Ho_So_Nhan_Vien'!$C:$C,0))=0,"",INDEX('03_Ho_So_Nhan_Vien'!$M:$M,MATCH(B36,'03_Ho_So_Nhan_Vien'!$C:$C,0))),""))</f>
      </c>
      <c r="I36" s="78"/>
      <c r="J36" s="78"/>
      <c r="K36" s="78"/>
    </row>
    <row r="37" ht="14.25" customHeight="1" spans="1:11" x14ac:dyDescent="0.25">
      <c r="A37" s="79">
        <f>IFERROR(IF(ISNUMBER(MATCH(36,'05_Theo_Doi_Gio_Cong_7_Ngay'!$O:$O,0)),36,""),"")</f>
      </c>
      <c r="B37" s="87">
        <f t="array" ref="B37">IFERROR(IF(A37="","",INDEX('05_Theo_Doi_Gio_Cong_7_Ngay'!$B:$B,MATCH(36,'05_Theo_Doi_Gio_Cong_7_Ngay'!$O:$O,0))),"")</f>
      </c>
      <c r="C37" s="79">
        <f t="array" ref="C37">IFERROR(IF(A37="","",INDEX('05_Theo_Doi_Gio_Cong_7_Ngay'!$C:$C,MATCH(36,'05_Theo_Doi_Gio_Cong_7_Ngay'!$O:$O,0))),"")</f>
      </c>
      <c r="D37" s="80">
        <f t="array" ref="D37">IFERROR(IF(A37="","",INDEX('05_Theo_Doi_Gio_Cong_7_Ngay'!$D:$D,MATCH(36,'05_Theo_Doi_Gio_Cong_7_Ngay'!$O:$O,0))),"")</f>
      </c>
      <c r="E37" s="80">
        <f t="array" ref="E37">IFERROR(IF(B37="","",INDEX('02_DS_Nhan_Viec'!$G:$G,MATCH(B37,'02_DS_Nhan_Viec'!$J:$J,0))),"")</f>
      </c>
      <c r="F37" s="79">
        <f t="array" ref="F37">IFERROR(IF(B37="","",INDEX('02_DS_Nhan_Viec'!$H:$H,MATCH(B37,'02_DS_Nhan_Viec'!$J:$J,0))),"")</f>
      </c>
      <c r="G37" s="79">
        <f t="array" ref="G37">IFERROR(IF(B37="","",INDEX('02_DS_Nhan_Viec'!$I:$I,MATCH(B37,'02_DS_Nhan_Viec'!$J:$J,0))),"")</f>
      </c>
      <c r="H37" s="79">
        <f t="array" ref="H37">IF(B37="","",IFERROR(IF(INDEX('03_Ho_So_Nhan_Vien'!$M:$M,MATCH(B37,'03_Ho_So_Nhan_Vien'!$C:$C,0))=0,"",INDEX('03_Ho_So_Nhan_Vien'!$M:$M,MATCH(B37,'03_Ho_So_Nhan_Vien'!$C:$C,0))),""))</f>
      </c>
      <c r="I37" s="78"/>
      <c r="J37" s="78"/>
      <c r="K37" s="78"/>
    </row>
    <row r="38" ht="14.25" customHeight="1" spans="1:11" x14ac:dyDescent="0.25">
      <c r="A38" s="79">
        <f>IFERROR(IF(ISNUMBER(MATCH(37,'05_Theo_Doi_Gio_Cong_7_Ngay'!$O:$O,0)),37,""),"")</f>
      </c>
      <c r="B38" s="87">
        <f t="array" ref="B38">IFERROR(IF(A38="","",INDEX('05_Theo_Doi_Gio_Cong_7_Ngay'!$B:$B,MATCH(37,'05_Theo_Doi_Gio_Cong_7_Ngay'!$O:$O,0))),"")</f>
      </c>
      <c r="C38" s="79">
        <f t="array" ref="C38">IFERROR(IF(A38="","",INDEX('05_Theo_Doi_Gio_Cong_7_Ngay'!$C:$C,MATCH(37,'05_Theo_Doi_Gio_Cong_7_Ngay'!$O:$O,0))),"")</f>
      </c>
      <c r="D38" s="80">
        <f t="array" ref="D38">IFERROR(IF(A38="","",INDEX('05_Theo_Doi_Gio_Cong_7_Ngay'!$D:$D,MATCH(37,'05_Theo_Doi_Gio_Cong_7_Ngay'!$O:$O,0))),"")</f>
      </c>
      <c r="E38" s="80">
        <f t="array" ref="E38">IFERROR(IF(B38="","",INDEX('02_DS_Nhan_Viec'!$G:$G,MATCH(B38,'02_DS_Nhan_Viec'!$J:$J,0))),"")</f>
      </c>
      <c r="F38" s="79">
        <f t="array" ref="F38">IFERROR(IF(B38="","",INDEX('02_DS_Nhan_Viec'!$H:$H,MATCH(B38,'02_DS_Nhan_Viec'!$J:$J,0))),"")</f>
      </c>
      <c r="G38" s="79">
        <f t="array" ref="G38">IFERROR(IF(B38="","",INDEX('02_DS_Nhan_Viec'!$I:$I,MATCH(B38,'02_DS_Nhan_Viec'!$J:$J,0))),"")</f>
      </c>
      <c r="H38" s="79">
        <f t="array" ref="H38">IF(B38="","",IFERROR(IF(INDEX('03_Ho_So_Nhan_Vien'!$M:$M,MATCH(B38,'03_Ho_So_Nhan_Vien'!$C:$C,0))=0,"",INDEX('03_Ho_So_Nhan_Vien'!$M:$M,MATCH(B38,'03_Ho_So_Nhan_Vien'!$C:$C,0))),""))</f>
      </c>
      <c r="I38" s="78"/>
      <c r="J38" s="78"/>
      <c r="K38" s="78"/>
    </row>
    <row r="39" ht="14.25" customHeight="1" spans="1:11" x14ac:dyDescent="0.25">
      <c r="A39" s="79">
        <f>IFERROR(IF(ISNUMBER(MATCH(38,'05_Theo_Doi_Gio_Cong_7_Ngay'!$O:$O,0)),38,""),"")</f>
      </c>
      <c r="B39" s="87">
        <f t="array" ref="B39">IFERROR(IF(A39="","",INDEX('05_Theo_Doi_Gio_Cong_7_Ngay'!$B:$B,MATCH(38,'05_Theo_Doi_Gio_Cong_7_Ngay'!$O:$O,0))),"")</f>
      </c>
      <c r="C39" s="79">
        <f t="array" ref="C39">IFERROR(IF(A39="","",INDEX('05_Theo_Doi_Gio_Cong_7_Ngay'!$C:$C,MATCH(38,'05_Theo_Doi_Gio_Cong_7_Ngay'!$O:$O,0))),"")</f>
      </c>
      <c r="D39" s="80">
        <f t="array" ref="D39">IFERROR(IF(A39="","",INDEX('05_Theo_Doi_Gio_Cong_7_Ngay'!$D:$D,MATCH(38,'05_Theo_Doi_Gio_Cong_7_Ngay'!$O:$O,0))),"")</f>
      </c>
      <c r="E39" s="80">
        <f t="array" ref="E39">IFERROR(IF(B39="","",INDEX('02_DS_Nhan_Viec'!$G:$G,MATCH(B39,'02_DS_Nhan_Viec'!$J:$J,0))),"")</f>
      </c>
      <c r="F39" s="79">
        <f t="array" ref="F39">IFERROR(IF(B39="","",INDEX('02_DS_Nhan_Viec'!$H:$H,MATCH(B39,'02_DS_Nhan_Viec'!$J:$J,0))),"")</f>
      </c>
      <c r="G39" s="79">
        <f t="array" ref="G39">IFERROR(IF(B39="","",INDEX('02_DS_Nhan_Viec'!$I:$I,MATCH(B39,'02_DS_Nhan_Viec'!$J:$J,0))),"")</f>
      </c>
      <c r="H39" s="79">
        <f t="array" ref="H39">IF(B39="","",IFERROR(IF(INDEX('03_Ho_So_Nhan_Vien'!$M:$M,MATCH(B39,'03_Ho_So_Nhan_Vien'!$C:$C,0))=0,"",INDEX('03_Ho_So_Nhan_Vien'!$M:$M,MATCH(B39,'03_Ho_So_Nhan_Vien'!$C:$C,0))),""))</f>
      </c>
      <c r="I39" s="78"/>
      <c r="J39" s="78"/>
      <c r="K39" s="78"/>
    </row>
    <row r="40" ht="14.25" customHeight="1" spans="1:11" x14ac:dyDescent="0.25">
      <c r="A40" s="79">
        <f>IFERROR(IF(ISNUMBER(MATCH(39,'05_Theo_Doi_Gio_Cong_7_Ngay'!$O:$O,0)),39,""),"")</f>
      </c>
      <c r="B40" s="87">
        <f t="array" ref="B40">IFERROR(IF(A40="","",INDEX('05_Theo_Doi_Gio_Cong_7_Ngay'!$B:$B,MATCH(39,'05_Theo_Doi_Gio_Cong_7_Ngay'!$O:$O,0))),"")</f>
      </c>
      <c r="C40" s="79">
        <f t="array" ref="C40">IFERROR(IF(A40="","",INDEX('05_Theo_Doi_Gio_Cong_7_Ngay'!$C:$C,MATCH(39,'05_Theo_Doi_Gio_Cong_7_Ngay'!$O:$O,0))),"")</f>
      </c>
      <c r="D40" s="80">
        <f t="array" ref="D40">IFERROR(IF(A40="","",INDEX('05_Theo_Doi_Gio_Cong_7_Ngay'!$D:$D,MATCH(39,'05_Theo_Doi_Gio_Cong_7_Ngay'!$O:$O,0))),"")</f>
      </c>
      <c r="E40" s="80">
        <f t="array" ref="E40">IFERROR(IF(B40="","",INDEX('02_DS_Nhan_Viec'!$G:$G,MATCH(B40,'02_DS_Nhan_Viec'!$J:$J,0))),"")</f>
      </c>
      <c r="F40" s="79">
        <f t="array" ref="F40">IFERROR(IF(B40="","",INDEX('02_DS_Nhan_Viec'!$H:$H,MATCH(B40,'02_DS_Nhan_Viec'!$J:$J,0))),"")</f>
      </c>
      <c r="G40" s="79">
        <f t="array" ref="G40">IFERROR(IF(B40="","",INDEX('02_DS_Nhan_Viec'!$I:$I,MATCH(B40,'02_DS_Nhan_Viec'!$J:$J,0))),"")</f>
      </c>
      <c r="H40" s="79">
        <f t="array" ref="H40">IF(B40="","",IFERROR(IF(INDEX('03_Ho_So_Nhan_Vien'!$M:$M,MATCH(B40,'03_Ho_So_Nhan_Vien'!$C:$C,0))=0,"",INDEX('03_Ho_So_Nhan_Vien'!$M:$M,MATCH(B40,'03_Ho_So_Nhan_Vien'!$C:$C,0))),""))</f>
      </c>
      <c r="I40" s="78"/>
      <c r="J40" s="78"/>
      <c r="K40" s="78"/>
    </row>
    <row r="41" ht="14.25" customHeight="1" spans="1:11" x14ac:dyDescent="0.25">
      <c r="A41" s="79">
        <f>IFERROR(IF(ISNUMBER(MATCH(40,'05_Theo_Doi_Gio_Cong_7_Ngay'!$O:$O,0)),40,""),"")</f>
      </c>
      <c r="B41" s="87">
        <f t="array" ref="B41">IFERROR(IF(A41="","",INDEX('05_Theo_Doi_Gio_Cong_7_Ngay'!$B:$B,MATCH(40,'05_Theo_Doi_Gio_Cong_7_Ngay'!$O:$O,0))),"")</f>
      </c>
      <c r="C41" s="79">
        <f t="array" ref="C41">IFERROR(IF(A41="","",INDEX('05_Theo_Doi_Gio_Cong_7_Ngay'!$C:$C,MATCH(40,'05_Theo_Doi_Gio_Cong_7_Ngay'!$O:$O,0))),"")</f>
      </c>
      <c r="D41" s="80">
        <f t="array" ref="D41">IFERROR(IF(A41="","",INDEX('05_Theo_Doi_Gio_Cong_7_Ngay'!$D:$D,MATCH(40,'05_Theo_Doi_Gio_Cong_7_Ngay'!$O:$O,0))),"")</f>
      </c>
      <c r="E41" s="80">
        <f t="array" ref="E41">IFERROR(IF(B41="","",INDEX('02_DS_Nhan_Viec'!$G:$G,MATCH(B41,'02_DS_Nhan_Viec'!$J:$J,0))),"")</f>
      </c>
      <c r="F41" s="79">
        <f t="array" ref="F41">IFERROR(IF(B41="","",INDEX('02_DS_Nhan_Viec'!$H:$H,MATCH(B41,'02_DS_Nhan_Viec'!$J:$J,0))),"")</f>
      </c>
      <c r="G41" s="79">
        <f t="array" ref="G41">IFERROR(IF(B41="","",INDEX('02_DS_Nhan_Viec'!$I:$I,MATCH(B41,'02_DS_Nhan_Viec'!$J:$J,0))),"")</f>
      </c>
      <c r="H41" s="79">
        <f t="array" ref="H41">IF(B41="","",IFERROR(IF(INDEX('03_Ho_So_Nhan_Vien'!$M:$M,MATCH(B41,'03_Ho_So_Nhan_Vien'!$C:$C,0))=0,"",INDEX('03_Ho_So_Nhan_Vien'!$M:$M,MATCH(B41,'03_Ho_So_Nhan_Vien'!$C:$C,0))),""))</f>
      </c>
      <c r="I41" s="78"/>
      <c r="J41" s="78"/>
      <c r="K41" s="78"/>
    </row>
    <row r="42" ht="14.25" customHeight="1" spans="1:11" x14ac:dyDescent="0.25">
      <c r="A42" s="79">
        <f>IFERROR(IF(ISNUMBER(MATCH(41,'05_Theo_Doi_Gio_Cong_7_Ngay'!$O:$O,0)),41,""),"")</f>
      </c>
      <c r="B42" s="87">
        <f t="array" ref="B42">IFERROR(IF(A42="","",INDEX('05_Theo_Doi_Gio_Cong_7_Ngay'!$B:$B,MATCH(41,'05_Theo_Doi_Gio_Cong_7_Ngay'!$O:$O,0))),"")</f>
      </c>
      <c r="C42" s="79">
        <f t="array" ref="C42">IFERROR(IF(A42="","",INDEX('05_Theo_Doi_Gio_Cong_7_Ngay'!$C:$C,MATCH(41,'05_Theo_Doi_Gio_Cong_7_Ngay'!$O:$O,0))),"")</f>
      </c>
      <c r="D42" s="80">
        <f t="array" ref="D42">IFERROR(IF(A42="","",INDEX('05_Theo_Doi_Gio_Cong_7_Ngay'!$D:$D,MATCH(41,'05_Theo_Doi_Gio_Cong_7_Ngay'!$O:$O,0))),"")</f>
      </c>
      <c r="E42" s="80">
        <f t="array" ref="E42">IFERROR(IF(B42="","",INDEX('02_DS_Nhan_Viec'!$G:$G,MATCH(B42,'02_DS_Nhan_Viec'!$J:$J,0))),"")</f>
      </c>
      <c r="F42" s="79">
        <f t="array" ref="F42">IFERROR(IF(B42="","",INDEX('02_DS_Nhan_Viec'!$H:$H,MATCH(B42,'02_DS_Nhan_Viec'!$J:$J,0))),"")</f>
      </c>
      <c r="G42" s="79">
        <f t="array" ref="G42">IFERROR(IF(B42="","",INDEX('02_DS_Nhan_Viec'!$I:$I,MATCH(B42,'02_DS_Nhan_Viec'!$J:$J,0))),"")</f>
      </c>
      <c r="H42" s="79">
        <f t="array" ref="H42">IF(B42="","",IFERROR(IF(INDEX('03_Ho_So_Nhan_Vien'!$M:$M,MATCH(B42,'03_Ho_So_Nhan_Vien'!$C:$C,0))=0,"",INDEX('03_Ho_So_Nhan_Vien'!$M:$M,MATCH(B42,'03_Ho_So_Nhan_Vien'!$C:$C,0))),""))</f>
      </c>
      <c r="I42" s="78"/>
      <c r="J42" s="78"/>
      <c r="K42" s="78"/>
    </row>
    <row r="43" ht="14.25" customHeight="1" spans="1:11" x14ac:dyDescent="0.25">
      <c r="A43" s="79">
        <f>IFERROR(IF(ISNUMBER(MATCH(42,'05_Theo_Doi_Gio_Cong_7_Ngay'!$O:$O,0)),42,""),"")</f>
      </c>
      <c r="B43" s="87">
        <f t="array" ref="B43">IFERROR(IF(A43="","",INDEX('05_Theo_Doi_Gio_Cong_7_Ngay'!$B:$B,MATCH(42,'05_Theo_Doi_Gio_Cong_7_Ngay'!$O:$O,0))),"")</f>
      </c>
      <c r="C43" s="79">
        <f t="array" ref="C43">IFERROR(IF(A43="","",INDEX('05_Theo_Doi_Gio_Cong_7_Ngay'!$C:$C,MATCH(42,'05_Theo_Doi_Gio_Cong_7_Ngay'!$O:$O,0))),"")</f>
      </c>
      <c r="D43" s="80">
        <f t="array" ref="D43">IFERROR(IF(A43="","",INDEX('05_Theo_Doi_Gio_Cong_7_Ngay'!$D:$D,MATCH(42,'05_Theo_Doi_Gio_Cong_7_Ngay'!$O:$O,0))),"")</f>
      </c>
      <c r="E43" s="80">
        <f t="array" ref="E43">IFERROR(IF(B43="","",INDEX('02_DS_Nhan_Viec'!$G:$G,MATCH(B43,'02_DS_Nhan_Viec'!$J:$J,0))),"")</f>
      </c>
      <c r="F43" s="79">
        <f t="array" ref="F43">IFERROR(IF(B43="","",INDEX('02_DS_Nhan_Viec'!$H:$H,MATCH(B43,'02_DS_Nhan_Viec'!$J:$J,0))),"")</f>
      </c>
      <c r="G43" s="79">
        <f t="array" ref="G43">IFERROR(IF(B43="","",INDEX('02_DS_Nhan_Viec'!$I:$I,MATCH(B43,'02_DS_Nhan_Viec'!$J:$J,0))),"")</f>
      </c>
      <c r="H43" s="79">
        <f t="array" ref="H43">IF(B43="","",IFERROR(IF(INDEX('03_Ho_So_Nhan_Vien'!$M:$M,MATCH(B43,'03_Ho_So_Nhan_Vien'!$C:$C,0))=0,"",INDEX('03_Ho_So_Nhan_Vien'!$M:$M,MATCH(B43,'03_Ho_So_Nhan_Vien'!$C:$C,0))),""))</f>
      </c>
      <c r="I43" s="78"/>
      <c r="J43" s="78"/>
      <c r="K43" s="78"/>
    </row>
    <row r="44" ht="14.25" customHeight="1" spans="1:11" x14ac:dyDescent="0.25">
      <c r="A44" s="79">
        <f>IFERROR(IF(ISNUMBER(MATCH(43,'05_Theo_Doi_Gio_Cong_7_Ngay'!$O:$O,0)),43,""),"")</f>
      </c>
      <c r="B44" s="87">
        <f t="array" ref="B44">IFERROR(IF(A44="","",INDEX('05_Theo_Doi_Gio_Cong_7_Ngay'!$B:$B,MATCH(43,'05_Theo_Doi_Gio_Cong_7_Ngay'!$O:$O,0))),"")</f>
      </c>
      <c r="C44" s="79">
        <f t="array" ref="C44">IFERROR(IF(A44="","",INDEX('05_Theo_Doi_Gio_Cong_7_Ngay'!$C:$C,MATCH(43,'05_Theo_Doi_Gio_Cong_7_Ngay'!$O:$O,0))),"")</f>
      </c>
      <c r="D44" s="80">
        <f t="array" ref="D44">IFERROR(IF(A44="","",INDEX('05_Theo_Doi_Gio_Cong_7_Ngay'!$D:$D,MATCH(43,'05_Theo_Doi_Gio_Cong_7_Ngay'!$O:$O,0))),"")</f>
      </c>
      <c r="E44" s="80">
        <f t="array" ref="E44">IFERROR(IF(B44="","",INDEX('02_DS_Nhan_Viec'!$G:$G,MATCH(B44,'02_DS_Nhan_Viec'!$J:$J,0))),"")</f>
      </c>
      <c r="F44" s="79">
        <f t="array" ref="F44">IFERROR(IF(B44="","",INDEX('02_DS_Nhan_Viec'!$H:$H,MATCH(B44,'02_DS_Nhan_Viec'!$J:$J,0))),"")</f>
      </c>
      <c r="G44" s="79">
        <f t="array" ref="G44">IFERROR(IF(B44="","",INDEX('02_DS_Nhan_Viec'!$I:$I,MATCH(B44,'02_DS_Nhan_Viec'!$J:$J,0))),"")</f>
      </c>
      <c r="H44" s="79">
        <f t="array" ref="H44">IF(B44="","",IFERROR(IF(INDEX('03_Ho_So_Nhan_Vien'!$M:$M,MATCH(B44,'03_Ho_So_Nhan_Vien'!$C:$C,0))=0,"",INDEX('03_Ho_So_Nhan_Vien'!$M:$M,MATCH(B44,'03_Ho_So_Nhan_Vien'!$C:$C,0))),""))</f>
      </c>
      <c r="I44" s="78"/>
      <c r="J44" s="78"/>
      <c r="K44" s="78"/>
    </row>
    <row r="45" ht="14.25" customHeight="1" spans="1:11" x14ac:dyDescent="0.25">
      <c r="A45" s="79">
        <f>IFERROR(IF(ISNUMBER(MATCH(44,'05_Theo_Doi_Gio_Cong_7_Ngay'!$O:$O,0)),44,""),"")</f>
      </c>
      <c r="B45" s="87">
        <f t="array" ref="B45">IFERROR(IF(A45="","",INDEX('05_Theo_Doi_Gio_Cong_7_Ngay'!$B:$B,MATCH(44,'05_Theo_Doi_Gio_Cong_7_Ngay'!$O:$O,0))),"")</f>
      </c>
      <c r="C45" s="79">
        <f t="array" ref="C45">IFERROR(IF(A45="","",INDEX('05_Theo_Doi_Gio_Cong_7_Ngay'!$C:$C,MATCH(44,'05_Theo_Doi_Gio_Cong_7_Ngay'!$O:$O,0))),"")</f>
      </c>
      <c r="D45" s="80">
        <f t="array" ref="D45">IFERROR(IF(A45="","",INDEX('05_Theo_Doi_Gio_Cong_7_Ngay'!$D:$D,MATCH(44,'05_Theo_Doi_Gio_Cong_7_Ngay'!$O:$O,0))),"")</f>
      </c>
      <c r="E45" s="80">
        <f t="array" ref="E45">IFERROR(IF(B45="","",INDEX('02_DS_Nhan_Viec'!$G:$G,MATCH(B45,'02_DS_Nhan_Viec'!$J:$J,0))),"")</f>
      </c>
      <c r="F45" s="79">
        <f t="array" ref="F45">IFERROR(IF(B45="","",INDEX('02_DS_Nhan_Viec'!$H:$H,MATCH(B45,'02_DS_Nhan_Viec'!$J:$J,0))),"")</f>
      </c>
      <c r="G45" s="79">
        <f t="array" ref="G45">IFERROR(IF(B45="","",INDEX('02_DS_Nhan_Viec'!$I:$I,MATCH(B45,'02_DS_Nhan_Viec'!$J:$J,0))),"")</f>
      </c>
      <c r="H45" s="79">
        <f t="array" ref="H45">IF(B45="","",IFERROR(IF(INDEX('03_Ho_So_Nhan_Vien'!$M:$M,MATCH(B45,'03_Ho_So_Nhan_Vien'!$C:$C,0))=0,"",INDEX('03_Ho_So_Nhan_Vien'!$M:$M,MATCH(B45,'03_Ho_So_Nhan_Vien'!$C:$C,0))),""))</f>
      </c>
      <c r="I45" s="78"/>
      <c r="J45" s="78"/>
      <c r="K45" s="78"/>
    </row>
    <row r="46" ht="14.25" customHeight="1" spans="1:11" x14ac:dyDescent="0.25">
      <c r="A46" s="79">
        <f>IFERROR(IF(ISNUMBER(MATCH(45,'05_Theo_Doi_Gio_Cong_7_Ngay'!$O:$O,0)),45,""),"")</f>
      </c>
      <c r="B46" s="87">
        <f t="array" ref="B46">IFERROR(IF(A46="","",INDEX('05_Theo_Doi_Gio_Cong_7_Ngay'!$B:$B,MATCH(45,'05_Theo_Doi_Gio_Cong_7_Ngay'!$O:$O,0))),"")</f>
      </c>
      <c r="C46" s="79">
        <f t="array" ref="C46">IFERROR(IF(A46="","",INDEX('05_Theo_Doi_Gio_Cong_7_Ngay'!$C:$C,MATCH(45,'05_Theo_Doi_Gio_Cong_7_Ngay'!$O:$O,0))),"")</f>
      </c>
      <c r="D46" s="80">
        <f t="array" ref="D46">IFERROR(IF(A46="","",INDEX('05_Theo_Doi_Gio_Cong_7_Ngay'!$D:$D,MATCH(45,'05_Theo_Doi_Gio_Cong_7_Ngay'!$O:$O,0))),"")</f>
      </c>
      <c r="E46" s="80">
        <f t="array" ref="E46">IFERROR(IF(B46="","",INDEX('02_DS_Nhan_Viec'!$G:$G,MATCH(B46,'02_DS_Nhan_Viec'!$J:$J,0))),"")</f>
      </c>
      <c r="F46" s="79">
        <f t="array" ref="F46">IFERROR(IF(B46="","",INDEX('02_DS_Nhan_Viec'!$H:$H,MATCH(B46,'02_DS_Nhan_Viec'!$J:$J,0))),"")</f>
      </c>
      <c r="G46" s="79">
        <f t="array" ref="G46">IFERROR(IF(B46="","",INDEX('02_DS_Nhan_Viec'!$I:$I,MATCH(B46,'02_DS_Nhan_Viec'!$J:$J,0))),"")</f>
      </c>
      <c r="H46" s="79">
        <f t="array" ref="H46">IF(B46="","",IFERROR(IF(INDEX('03_Ho_So_Nhan_Vien'!$M:$M,MATCH(B46,'03_Ho_So_Nhan_Vien'!$C:$C,0))=0,"",INDEX('03_Ho_So_Nhan_Vien'!$M:$M,MATCH(B46,'03_Ho_So_Nhan_Vien'!$C:$C,0))),""))</f>
      </c>
      <c r="I46" s="78"/>
      <c r="J46" s="78"/>
      <c r="K46" s="78"/>
    </row>
    <row r="47" ht="14.25" customHeight="1" spans="1:11" x14ac:dyDescent="0.25">
      <c r="A47" s="79">
        <f>IFERROR(IF(ISNUMBER(MATCH(46,'05_Theo_Doi_Gio_Cong_7_Ngay'!$O:$O,0)),46,""),"")</f>
      </c>
      <c r="B47" s="87">
        <f t="array" ref="B47">IFERROR(IF(A47="","",INDEX('05_Theo_Doi_Gio_Cong_7_Ngay'!$B:$B,MATCH(46,'05_Theo_Doi_Gio_Cong_7_Ngay'!$O:$O,0))),"")</f>
      </c>
      <c r="C47" s="79">
        <f t="array" ref="C47">IFERROR(IF(A47="","",INDEX('05_Theo_Doi_Gio_Cong_7_Ngay'!$C:$C,MATCH(46,'05_Theo_Doi_Gio_Cong_7_Ngay'!$O:$O,0))),"")</f>
      </c>
      <c r="D47" s="80">
        <f t="array" ref="D47">IFERROR(IF(A47="","",INDEX('05_Theo_Doi_Gio_Cong_7_Ngay'!$D:$D,MATCH(46,'05_Theo_Doi_Gio_Cong_7_Ngay'!$O:$O,0))),"")</f>
      </c>
      <c r="E47" s="80">
        <f t="array" ref="E47">IFERROR(IF(B47="","",INDEX('02_DS_Nhan_Viec'!$G:$G,MATCH(B47,'02_DS_Nhan_Viec'!$J:$J,0))),"")</f>
      </c>
      <c r="F47" s="79">
        <f t="array" ref="F47">IFERROR(IF(B47="","",INDEX('02_DS_Nhan_Viec'!$H:$H,MATCH(B47,'02_DS_Nhan_Viec'!$J:$J,0))),"")</f>
      </c>
      <c r="G47" s="79">
        <f t="array" ref="G47">IFERROR(IF(B47="","",INDEX('02_DS_Nhan_Viec'!$I:$I,MATCH(B47,'02_DS_Nhan_Viec'!$J:$J,0))),"")</f>
      </c>
      <c r="H47" s="79">
        <f t="array" ref="H47">IF(B47="","",IFERROR(IF(INDEX('03_Ho_So_Nhan_Vien'!$M:$M,MATCH(B47,'03_Ho_So_Nhan_Vien'!$C:$C,0))=0,"",INDEX('03_Ho_So_Nhan_Vien'!$M:$M,MATCH(B47,'03_Ho_So_Nhan_Vien'!$C:$C,0))),""))</f>
      </c>
      <c r="I47" s="78"/>
      <c r="J47" s="78"/>
      <c r="K47" s="78"/>
    </row>
    <row r="48" ht="14.25" customHeight="1" spans="1:11" x14ac:dyDescent="0.25">
      <c r="A48" s="79">
        <f>IFERROR(IF(ISNUMBER(MATCH(47,'05_Theo_Doi_Gio_Cong_7_Ngay'!$O:$O,0)),47,""),"")</f>
      </c>
      <c r="B48" s="87">
        <f t="array" ref="B48">IFERROR(IF(A48="","",INDEX('05_Theo_Doi_Gio_Cong_7_Ngay'!$B:$B,MATCH(47,'05_Theo_Doi_Gio_Cong_7_Ngay'!$O:$O,0))),"")</f>
      </c>
      <c r="C48" s="79">
        <f t="array" ref="C48">IFERROR(IF(A48="","",INDEX('05_Theo_Doi_Gio_Cong_7_Ngay'!$C:$C,MATCH(47,'05_Theo_Doi_Gio_Cong_7_Ngay'!$O:$O,0))),"")</f>
      </c>
      <c r="D48" s="80">
        <f t="array" ref="D48">IFERROR(IF(A48="","",INDEX('05_Theo_Doi_Gio_Cong_7_Ngay'!$D:$D,MATCH(47,'05_Theo_Doi_Gio_Cong_7_Ngay'!$O:$O,0))),"")</f>
      </c>
      <c r="E48" s="80">
        <f t="array" ref="E48">IFERROR(IF(B48="","",INDEX('02_DS_Nhan_Viec'!$G:$G,MATCH(B48,'02_DS_Nhan_Viec'!$J:$J,0))),"")</f>
      </c>
      <c r="F48" s="79">
        <f t="array" ref="F48">IFERROR(IF(B48="","",INDEX('02_DS_Nhan_Viec'!$H:$H,MATCH(B48,'02_DS_Nhan_Viec'!$J:$J,0))),"")</f>
      </c>
      <c r="G48" s="79">
        <f t="array" ref="G48">IFERROR(IF(B48="","",INDEX('02_DS_Nhan_Viec'!$I:$I,MATCH(B48,'02_DS_Nhan_Viec'!$J:$J,0))),"")</f>
      </c>
      <c r="H48" s="79">
        <f t="array" ref="H48">IF(B48="","",IFERROR(IF(INDEX('03_Ho_So_Nhan_Vien'!$M:$M,MATCH(B48,'03_Ho_So_Nhan_Vien'!$C:$C,0))=0,"",INDEX('03_Ho_So_Nhan_Vien'!$M:$M,MATCH(B48,'03_Ho_So_Nhan_Vien'!$C:$C,0))),""))</f>
      </c>
      <c r="I48" s="78"/>
      <c r="J48" s="78"/>
      <c r="K48" s="78"/>
    </row>
    <row r="49" ht="14.25" customHeight="1" spans="1:11" x14ac:dyDescent="0.25">
      <c r="A49" s="79">
        <f>IFERROR(IF(ISNUMBER(MATCH(48,'05_Theo_Doi_Gio_Cong_7_Ngay'!$O:$O,0)),48,""),"")</f>
      </c>
      <c r="B49" s="87">
        <f t="array" ref="B49">IFERROR(IF(A49="","",INDEX('05_Theo_Doi_Gio_Cong_7_Ngay'!$B:$B,MATCH(48,'05_Theo_Doi_Gio_Cong_7_Ngay'!$O:$O,0))),"")</f>
      </c>
      <c r="C49" s="79">
        <f t="array" ref="C49">IFERROR(IF(A49="","",INDEX('05_Theo_Doi_Gio_Cong_7_Ngay'!$C:$C,MATCH(48,'05_Theo_Doi_Gio_Cong_7_Ngay'!$O:$O,0))),"")</f>
      </c>
      <c r="D49" s="80">
        <f t="array" ref="D49">IFERROR(IF(A49="","",INDEX('05_Theo_Doi_Gio_Cong_7_Ngay'!$D:$D,MATCH(48,'05_Theo_Doi_Gio_Cong_7_Ngay'!$O:$O,0))),"")</f>
      </c>
      <c r="E49" s="80">
        <f t="array" ref="E49">IFERROR(IF(B49="","",INDEX('02_DS_Nhan_Viec'!$G:$G,MATCH(B49,'02_DS_Nhan_Viec'!$J:$J,0))),"")</f>
      </c>
      <c r="F49" s="79">
        <f t="array" ref="F49">IFERROR(IF(B49="","",INDEX('02_DS_Nhan_Viec'!$H:$H,MATCH(B49,'02_DS_Nhan_Viec'!$J:$J,0))),"")</f>
      </c>
      <c r="G49" s="79">
        <f t="array" ref="G49">IFERROR(IF(B49="","",INDEX('02_DS_Nhan_Viec'!$I:$I,MATCH(B49,'02_DS_Nhan_Viec'!$J:$J,0))),"")</f>
      </c>
      <c r="H49" s="79">
        <f t="array" ref="H49">IF(B49="","",IFERROR(IF(INDEX('03_Ho_So_Nhan_Vien'!$M:$M,MATCH(B49,'03_Ho_So_Nhan_Vien'!$C:$C,0))=0,"",INDEX('03_Ho_So_Nhan_Vien'!$M:$M,MATCH(B49,'03_Ho_So_Nhan_Vien'!$C:$C,0))),""))</f>
      </c>
      <c r="I49" s="78"/>
      <c r="J49" s="78"/>
      <c r="K49" s="78"/>
    </row>
    <row r="50" ht="14.25" customHeight="1" spans="1:11" x14ac:dyDescent="0.25">
      <c r="A50" s="79">
        <f>IFERROR(IF(ISNUMBER(MATCH(49,'05_Theo_Doi_Gio_Cong_7_Ngay'!$O:$O,0)),49,""),"")</f>
      </c>
      <c r="B50" s="87">
        <f t="array" ref="B50">IFERROR(IF(A50="","",INDEX('05_Theo_Doi_Gio_Cong_7_Ngay'!$B:$B,MATCH(49,'05_Theo_Doi_Gio_Cong_7_Ngay'!$O:$O,0))),"")</f>
      </c>
      <c r="C50" s="79">
        <f t="array" ref="C50">IFERROR(IF(A50="","",INDEX('05_Theo_Doi_Gio_Cong_7_Ngay'!$C:$C,MATCH(49,'05_Theo_Doi_Gio_Cong_7_Ngay'!$O:$O,0))),"")</f>
      </c>
      <c r="D50" s="80">
        <f t="array" ref="D50">IFERROR(IF(A50="","",INDEX('05_Theo_Doi_Gio_Cong_7_Ngay'!$D:$D,MATCH(49,'05_Theo_Doi_Gio_Cong_7_Ngay'!$O:$O,0))),"")</f>
      </c>
      <c r="E50" s="80">
        <f t="array" ref="E50">IFERROR(IF(B50="","",INDEX('02_DS_Nhan_Viec'!$G:$G,MATCH(B50,'02_DS_Nhan_Viec'!$J:$J,0))),"")</f>
      </c>
      <c r="F50" s="79">
        <f t="array" ref="F50">IFERROR(IF(B50="","",INDEX('02_DS_Nhan_Viec'!$H:$H,MATCH(B50,'02_DS_Nhan_Viec'!$J:$J,0))),"")</f>
      </c>
      <c r="G50" s="79">
        <f t="array" ref="G50">IFERROR(IF(B50="","",INDEX('02_DS_Nhan_Viec'!$I:$I,MATCH(B50,'02_DS_Nhan_Viec'!$J:$J,0))),"")</f>
      </c>
      <c r="H50" s="79">
        <f t="array" ref="H50">IF(B50="","",IFERROR(IF(INDEX('03_Ho_So_Nhan_Vien'!$M:$M,MATCH(B50,'03_Ho_So_Nhan_Vien'!$C:$C,0))=0,"",INDEX('03_Ho_So_Nhan_Vien'!$M:$M,MATCH(B50,'03_Ho_So_Nhan_Vien'!$C:$C,0))),""))</f>
      </c>
      <c r="I50" s="78"/>
      <c r="J50" s="78"/>
      <c r="K50" s="78"/>
    </row>
    <row r="51" ht="14.25" customHeight="1" spans="1:11" x14ac:dyDescent="0.25">
      <c r="A51" s="79">
        <f>IFERROR(IF(ISNUMBER(MATCH(50,'05_Theo_Doi_Gio_Cong_7_Ngay'!$O:$O,0)),50,""),"")</f>
      </c>
      <c r="B51" s="87">
        <f t="array" ref="B51">IFERROR(IF(A51="","",INDEX('05_Theo_Doi_Gio_Cong_7_Ngay'!$B:$B,MATCH(50,'05_Theo_Doi_Gio_Cong_7_Ngay'!$O:$O,0))),"")</f>
      </c>
      <c r="C51" s="79">
        <f t="array" ref="C51">IFERROR(IF(A51="","",INDEX('05_Theo_Doi_Gio_Cong_7_Ngay'!$C:$C,MATCH(50,'05_Theo_Doi_Gio_Cong_7_Ngay'!$O:$O,0))),"")</f>
      </c>
      <c r="D51" s="80">
        <f t="array" ref="D51">IFERROR(IF(A51="","",INDEX('05_Theo_Doi_Gio_Cong_7_Ngay'!$D:$D,MATCH(50,'05_Theo_Doi_Gio_Cong_7_Ngay'!$O:$O,0))),"")</f>
      </c>
      <c r="E51" s="80">
        <f t="array" ref="E51">IFERROR(IF(B51="","",INDEX('02_DS_Nhan_Viec'!$G:$G,MATCH(B51,'02_DS_Nhan_Viec'!$J:$J,0))),"")</f>
      </c>
      <c r="F51" s="79">
        <f t="array" ref="F51">IFERROR(IF(B51="","",INDEX('02_DS_Nhan_Viec'!$H:$H,MATCH(B51,'02_DS_Nhan_Viec'!$J:$J,0))),"")</f>
      </c>
      <c r="G51" s="79">
        <f t="array" ref="G51">IFERROR(IF(B51="","",INDEX('02_DS_Nhan_Viec'!$I:$I,MATCH(B51,'02_DS_Nhan_Viec'!$J:$J,0))),"")</f>
      </c>
      <c r="H51" s="79">
        <f t="array" ref="H51">IF(B51="","",IFERROR(IF(INDEX('03_Ho_So_Nhan_Vien'!$M:$M,MATCH(B51,'03_Ho_So_Nhan_Vien'!$C:$C,0))=0,"",INDEX('03_Ho_So_Nhan_Vien'!$M:$M,MATCH(B51,'03_Ho_So_Nhan_Vien'!$C:$C,0))),""))</f>
      </c>
      <c r="I51" s="78"/>
      <c r="J51" s="78"/>
      <c r="K51" s="78"/>
    </row>
    <row r="52" ht="14.25" customHeight="1" spans="1:11" x14ac:dyDescent="0.25">
      <c r="A52" s="79">
        <f>IFERROR(IF(ISNUMBER(MATCH(51,'05_Theo_Doi_Gio_Cong_7_Ngay'!$O:$O,0)),51,""),"")</f>
      </c>
      <c r="B52" s="87">
        <f t="array" ref="B52">IFERROR(IF(A52="","",INDEX('05_Theo_Doi_Gio_Cong_7_Ngay'!$B:$B,MATCH(51,'05_Theo_Doi_Gio_Cong_7_Ngay'!$O:$O,0))),"")</f>
      </c>
      <c r="C52" s="79">
        <f t="array" ref="C52">IFERROR(IF(A52="","",INDEX('05_Theo_Doi_Gio_Cong_7_Ngay'!$C:$C,MATCH(51,'05_Theo_Doi_Gio_Cong_7_Ngay'!$O:$O,0))),"")</f>
      </c>
      <c r="D52" s="80">
        <f t="array" ref="D52">IFERROR(IF(A52="","",INDEX('05_Theo_Doi_Gio_Cong_7_Ngay'!$D:$D,MATCH(51,'05_Theo_Doi_Gio_Cong_7_Ngay'!$O:$O,0))),"")</f>
      </c>
      <c r="E52" s="80">
        <f t="array" ref="E52">IFERROR(IF(B52="","",INDEX('02_DS_Nhan_Viec'!$G:$G,MATCH(B52,'02_DS_Nhan_Viec'!$J:$J,0))),"")</f>
      </c>
      <c r="F52" s="79">
        <f t="array" ref="F52">IFERROR(IF(B52="","",INDEX('02_DS_Nhan_Viec'!$H:$H,MATCH(B52,'02_DS_Nhan_Viec'!$J:$J,0))),"")</f>
      </c>
      <c r="G52" s="79">
        <f t="array" ref="G52">IFERROR(IF(B52="","",INDEX('02_DS_Nhan_Viec'!$I:$I,MATCH(B52,'02_DS_Nhan_Viec'!$J:$J,0))),"")</f>
      </c>
      <c r="H52" s="79">
        <f t="array" ref="H52">IF(B52="","",IFERROR(IF(INDEX('03_Ho_So_Nhan_Vien'!$M:$M,MATCH(B52,'03_Ho_So_Nhan_Vien'!$C:$C,0))=0,"",INDEX('03_Ho_So_Nhan_Vien'!$M:$M,MATCH(B52,'03_Ho_So_Nhan_Vien'!$C:$C,0))),""))</f>
      </c>
      <c r="I52" s="78"/>
      <c r="J52" s="78"/>
      <c r="K52" s="78"/>
    </row>
    <row r="53" ht="14.25" customHeight="1" spans="1:11" x14ac:dyDescent="0.25">
      <c r="A53" s="79">
        <f>IFERROR(IF(ISNUMBER(MATCH(52,'05_Theo_Doi_Gio_Cong_7_Ngay'!$O:$O,0)),52,""),"")</f>
      </c>
      <c r="B53" s="87">
        <f t="array" ref="B53">IFERROR(IF(A53="","",INDEX('05_Theo_Doi_Gio_Cong_7_Ngay'!$B:$B,MATCH(52,'05_Theo_Doi_Gio_Cong_7_Ngay'!$O:$O,0))),"")</f>
      </c>
      <c r="C53" s="79">
        <f t="array" ref="C53">IFERROR(IF(A53="","",INDEX('05_Theo_Doi_Gio_Cong_7_Ngay'!$C:$C,MATCH(52,'05_Theo_Doi_Gio_Cong_7_Ngay'!$O:$O,0))),"")</f>
      </c>
      <c r="D53" s="80">
        <f t="array" ref="D53">IFERROR(IF(A53="","",INDEX('05_Theo_Doi_Gio_Cong_7_Ngay'!$D:$D,MATCH(52,'05_Theo_Doi_Gio_Cong_7_Ngay'!$O:$O,0))),"")</f>
      </c>
      <c r="E53" s="80">
        <f t="array" ref="E53">IFERROR(IF(B53="","",INDEX('02_DS_Nhan_Viec'!$G:$G,MATCH(B53,'02_DS_Nhan_Viec'!$J:$J,0))),"")</f>
      </c>
      <c r="F53" s="79">
        <f t="array" ref="F53">IFERROR(IF(B53="","",INDEX('02_DS_Nhan_Viec'!$H:$H,MATCH(B53,'02_DS_Nhan_Viec'!$J:$J,0))),"")</f>
      </c>
      <c r="G53" s="79">
        <f t="array" ref="G53">IFERROR(IF(B53="","",INDEX('02_DS_Nhan_Viec'!$I:$I,MATCH(B53,'02_DS_Nhan_Viec'!$J:$J,0))),"")</f>
      </c>
      <c r="H53" s="79">
        <f t="array" ref="H53">IF(B53="","",IFERROR(IF(INDEX('03_Ho_So_Nhan_Vien'!$M:$M,MATCH(B53,'03_Ho_So_Nhan_Vien'!$C:$C,0))=0,"",INDEX('03_Ho_So_Nhan_Vien'!$M:$M,MATCH(B53,'03_Ho_So_Nhan_Vien'!$C:$C,0))),""))</f>
      </c>
      <c r="I53" s="78"/>
      <c r="J53" s="78"/>
      <c r="K53" s="78"/>
    </row>
    <row r="54" ht="14.25" customHeight="1" spans="1:11" x14ac:dyDescent="0.25">
      <c r="A54" s="79">
        <f>IFERROR(IF(ISNUMBER(MATCH(53,'05_Theo_Doi_Gio_Cong_7_Ngay'!$O:$O,0)),53,""),"")</f>
      </c>
      <c r="B54" s="87">
        <f t="array" ref="B54">IFERROR(IF(A54="","",INDEX('05_Theo_Doi_Gio_Cong_7_Ngay'!$B:$B,MATCH(53,'05_Theo_Doi_Gio_Cong_7_Ngay'!$O:$O,0))),"")</f>
      </c>
      <c r="C54" s="79">
        <f t="array" ref="C54">IFERROR(IF(A54="","",INDEX('05_Theo_Doi_Gio_Cong_7_Ngay'!$C:$C,MATCH(53,'05_Theo_Doi_Gio_Cong_7_Ngay'!$O:$O,0))),"")</f>
      </c>
      <c r="D54" s="80">
        <f t="array" ref="D54">IFERROR(IF(A54="","",INDEX('05_Theo_Doi_Gio_Cong_7_Ngay'!$D:$D,MATCH(53,'05_Theo_Doi_Gio_Cong_7_Ngay'!$O:$O,0))),"")</f>
      </c>
      <c r="E54" s="80">
        <f t="array" ref="E54">IFERROR(IF(B54="","",INDEX('02_DS_Nhan_Viec'!$G:$G,MATCH(B54,'02_DS_Nhan_Viec'!$J:$J,0))),"")</f>
      </c>
      <c r="F54" s="79">
        <f t="array" ref="F54">IFERROR(IF(B54="","",INDEX('02_DS_Nhan_Viec'!$H:$H,MATCH(B54,'02_DS_Nhan_Viec'!$J:$J,0))),"")</f>
      </c>
      <c r="G54" s="79">
        <f t="array" ref="G54">IFERROR(IF(B54="","",INDEX('02_DS_Nhan_Viec'!$I:$I,MATCH(B54,'02_DS_Nhan_Viec'!$J:$J,0))),"")</f>
      </c>
      <c r="H54" s="79">
        <f t="array" ref="H54">IF(B54="","",IFERROR(IF(INDEX('03_Ho_So_Nhan_Vien'!$M:$M,MATCH(B54,'03_Ho_So_Nhan_Vien'!$C:$C,0))=0,"",INDEX('03_Ho_So_Nhan_Vien'!$M:$M,MATCH(B54,'03_Ho_So_Nhan_Vien'!$C:$C,0))),""))</f>
      </c>
      <c r="I54" s="78"/>
      <c r="J54" s="78"/>
      <c r="K54" s="78"/>
    </row>
    <row r="55" ht="14.25" customHeight="1" spans="1:11" x14ac:dyDescent="0.25">
      <c r="A55" s="79">
        <f>IFERROR(IF(ISNUMBER(MATCH(54,'05_Theo_Doi_Gio_Cong_7_Ngay'!$O:$O,0)),54,""),"")</f>
      </c>
      <c r="B55" s="87">
        <f t="array" ref="B55">IFERROR(IF(A55="","",INDEX('05_Theo_Doi_Gio_Cong_7_Ngay'!$B:$B,MATCH(54,'05_Theo_Doi_Gio_Cong_7_Ngay'!$O:$O,0))),"")</f>
      </c>
      <c r="C55" s="79">
        <f t="array" ref="C55">IFERROR(IF(A55="","",INDEX('05_Theo_Doi_Gio_Cong_7_Ngay'!$C:$C,MATCH(54,'05_Theo_Doi_Gio_Cong_7_Ngay'!$O:$O,0))),"")</f>
      </c>
      <c r="D55" s="80">
        <f t="array" ref="D55">IFERROR(IF(A55="","",INDEX('05_Theo_Doi_Gio_Cong_7_Ngay'!$D:$D,MATCH(54,'05_Theo_Doi_Gio_Cong_7_Ngay'!$O:$O,0))),"")</f>
      </c>
      <c r="E55" s="80">
        <f t="array" ref="E55">IFERROR(IF(B55="","",INDEX('02_DS_Nhan_Viec'!$G:$G,MATCH(B55,'02_DS_Nhan_Viec'!$J:$J,0))),"")</f>
      </c>
      <c r="F55" s="79">
        <f t="array" ref="F55">IFERROR(IF(B55="","",INDEX('02_DS_Nhan_Viec'!$H:$H,MATCH(B55,'02_DS_Nhan_Viec'!$J:$J,0))),"")</f>
      </c>
      <c r="G55" s="79">
        <f t="array" ref="G55">IFERROR(IF(B55="","",INDEX('02_DS_Nhan_Viec'!$I:$I,MATCH(B55,'02_DS_Nhan_Viec'!$J:$J,0))),"")</f>
      </c>
      <c r="H55" s="79">
        <f t="array" ref="H55">IF(B55="","",IFERROR(IF(INDEX('03_Ho_So_Nhan_Vien'!$M:$M,MATCH(B55,'03_Ho_So_Nhan_Vien'!$C:$C,0))=0,"",INDEX('03_Ho_So_Nhan_Vien'!$M:$M,MATCH(B55,'03_Ho_So_Nhan_Vien'!$C:$C,0))),""))</f>
      </c>
      <c r="I55" s="78"/>
      <c r="J55" s="78"/>
      <c r="K55" s="78"/>
    </row>
    <row r="56" ht="14.25" customHeight="1" spans="1:11" x14ac:dyDescent="0.25">
      <c r="A56" s="79">
        <f>IFERROR(IF(ISNUMBER(MATCH(55,'05_Theo_Doi_Gio_Cong_7_Ngay'!$O:$O,0)),55,""),"")</f>
      </c>
      <c r="B56" s="87">
        <f t="array" ref="B56">IFERROR(IF(A56="","",INDEX('05_Theo_Doi_Gio_Cong_7_Ngay'!$B:$B,MATCH(55,'05_Theo_Doi_Gio_Cong_7_Ngay'!$O:$O,0))),"")</f>
      </c>
      <c r="C56" s="79">
        <f t="array" ref="C56">IFERROR(IF(A56="","",INDEX('05_Theo_Doi_Gio_Cong_7_Ngay'!$C:$C,MATCH(55,'05_Theo_Doi_Gio_Cong_7_Ngay'!$O:$O,0))),"")</f>
      </c>
      <c r="D56" s="80">
        <f t="array" ref="D56">IFERROR(IF(A56="","",INDEX('05_Theo_Doi_Gio_Cong_7_Ngay'!$D:$D,MATCH(55,'05_Theo_Doi_Gio_Cong_7_Ngay'!$O:$O,0))),"")</f>
      </c>
      <c r="E56" s="80">
        <f t="array" ref="E56">IFERROR(IF(B56="","",INDEX('02_DS_Nhan_Viec'!$G:$G,MATCH(B56,'02_DS_Nhan_Viec'!$J:$J,0))),"")</f>
      </c>
      <c r="F56" s="79">
        <f t="array" ref="F56">IFERROR(IF(B56="","",INDEX('02_DS_Nhan_Viec'!$H:$H,MATCH(B56,'02_DS_Nhan_Viec'!$J:$J,0))),"")</f>
      </c>
      <c r="G56" s="79">
        <f t="array" ref="G56">IFERROR(IF(B56="","",INDEX('02_DS_Nhan_Viec'!$I:$I,MATCH(B56,'02_DS_Nhan_Viec'!$J:$J,0))),"")</f>
      </c>
      <c r="H56" s="79">
        <f t="array" ref="H56">IF(B56="","",IFERROR(IF(INDEX('03_Ho_So_Nhan_Vien'!$M:$M,MATCH(B56,'03_Ho_So_Nhan_Vien'!$C:$C,0))=0,"",INDEX('03_Ho_So_Nhan_Vien'!$M:$M,MATCH(B56,'03_Ho_So_Nhan_Vien'!$C:$C,0))),""))</f>
      </c>
      <c r="I56" s="78"/>
      <c r="J56" s="78"/>
      <c r="K56" s="78"/>
    </row>
    <row r="57" ht="14.25" customHeight="1" spans="1:11" x14ac:dyDescent="0.25">
      <c r="A57" s="79">
        <f>IFERROR(IF(ISNUMBER(MATCH(56,'05_Theo_Doi_Gio_Cong_7_Ngay'!$O:$O,0)),56,""),"")</f>
      </c>
      <c r="B57" s="87">
        <f t="array" ref="B57">IFERROR(IF(A57="","",INDEX('05_Theo_Doi_Gio_Cong_7_Ngay'!$B:$B,MATCH(56,'05_Theo_Doi_Gio_Cong_7_Ngay'!$O:$O,0))),"")</f>
      </c>
      <c r="C57" s="79">
        <f t="array" ref="C57">IFERROR(IF(A57="","",INDEX('05_Theo_Doi_Gio_Cong_7_Ngay'!$C:$C,MATCH(56,'05_Theo_Doi_Gio_Cong_7_Ngay'!$O:$O,0))),"")</f>
      </c>
      <c r="D57" s="80">
        <f t="array" ref="D57">IFERROR(IF(A57="","",INDEX('05_Theo_Doi_Gio_Cong_7_Ngay'!$D:$D,MATCH(56,'05_Theo_Doi_Gio_Cong_7_Ngay'!$O:$O,0))),"")</f>
      </c>
      <c r="E57" s="80">
        <f t="array" ref="E57">IFERROR(IF(B57="","",INDEX('02_DS_Nhan_Viec'!$G:$G,MATCH(B57,'02_DS_Nhan_Viec'!$J:$J,0))),"")</f>
      </c>
      <c r="F57" s="79">
        <f t="array" ref="F57">IFERROR(IF(B57="","",INDEX('02_DS_Nhan_Viec'!$H:$H,MATCH(B57,'02_DS_Nhan_Viec'!$J:$J,0))),"")</f>
      </c>
      <c r="G57" s="79">
        <f t="array" ref="G57">IFERROR(IF(B57="","",INDEX('02_DS_Nhan_Viec'!$I:$I,MATCH(B57,'02_DS_Nhan_Viec'!$J:$J,0))),"")</f>
      </c>
      <c r="H57" s="79">
        <f t="array" ref="H57">IF(B57="","",IFERROR(IF(INDEX('03_Ho_So_Nhan_Vien'!$M:$M,MATCH(B57,'03_Ho_So_Nhan_Vien'!$C:$C,0))=0,"",INDEX('03_Ho_So_Nhan_Vien'!$M:$M,MATCH(B57,'03_Ho_So_Nhan_Vien'!$C:$C,0))),""))</f>
      </c>
      <c r="I57" s="78"/>
      <c r="J57" s="78"/>
      <c r="K57" s="78"/>
    </row>
    <row r="58" ht="14.25" customHeight="1" spans="1:11" x14ac:dyDescent="0.25">
      <c r="A58" s="79">
        <f>IFERROR(IF(ISNUMBER(MATCH(57,'05_Theo_Doi_Gio_Cong_7_Ngay'!$O:$O,0)),57,""),"")</f>
      </c>
      <c r="B58" s="87">
        <f t="array" ref="B58">IFERROR(IF(A58="","",INDEX('05_Theo_Doi_Gio_Cong_7_Ngay'!$B:$B,MATCH(57,'05_Theo_Doi_Gio_Cong_7_Ngay'!$O:$O,0))),"")</f>
      </c>
      <c r="C58" s="79">
        <f t="array" ref="C58">IFERROR(IF(A58="","",INDEX('05_Theo_Doi_Gio_Cong_7_Ngay'!$C:$C,MATCH(57,'05_Theo_Doi_Gio_Cong_7_Ngay'!$O:$O,0))),"")</f>
      </c>
      <c r="D58" s="80">
        <f t="array" ref="D58">IFERROR(IF(A58="","",INDEX('05_Theo_Doi_Gio_Cong_7_Ngay'!$D:$D,MATCH(57,'05_Theo_Doi_Gio_Cong_7_Ngay'!$O:$O,0))),"")</f>
      </c>
      <c r="E58" s="80">
        <f t="array" ref="E58">IFERROR(IF(B58="","",INDEX('02_DS_Nhan_Viec'!$G:$G,MATCH(B58,'02_DS_Nhan_Viec'!$J:$J,0))),"")</f>
      </c>
      <c r="F58" s="79">
        <f t="array" ref="F58">IFERROR(IF(B58="","",INDEX('02_DS_Nhan_Viec'!$H:$H,MATCH(B58,'02_DS_Nhan_Viec'!$J:$J,0))),"")</f>
      </c>
      <c r="G58" s="79">
        <f t="array" ref="G58">IFERROR(IF(B58="","",INDEX('02_DS_Nhan_Viec'!$I:$I,MATCH(B58,'02_DS_Nhan_Viec'!$J:$J,0))),"")</f>
      </c>
      <c r="H58" s="79">
        <f t="array" ref="H58">IF(B58="","",IFERROR(IF(INDEX('03_Ho_So_Nhan_Vien'!$M:$M,MATCH(B58,'03_Ho_So_Nhan_Vien'!$C:$C,0))=0,"",INDEX('03_Ho_So_Nhan_Vien'!$M:$M,MATCH(B58,'03_Ho_So_Nhan_Vien'!$C:$C,0))),""))</f>
      </c>
      <c r="I58" s="78"/>
      <c r="J58" s="78"/>
      <c r="K58" s="78"/>
    </row>
    <row r="59" ht="14.25" customHeight="1" spans="1:11" x14ac:dyDescent="0.25">
      <c r="A59" s="79">
        <f>IFERROR(IF(ISNUMBER(MATCH(58,'05_Theo_Doi_Gio_Cong_7_Ngay'!$O:$O,0)),58,""),"")</f>
      </c>
      <c r="B59" s="87">
        <f t="array" ref="B59">IFERROR(IF(A59="","",INDEX('05_Theo_Doi_Gio_Cong_7_Ngay'!$B:$B,MATCH(58,'05_Theo_Doi_Gio_Cong_7_Ngay'!$O:$O,0))),"")</f>
      </c>
      <c r="C59" s="79">
        <f t="array" ref="C59">IFERROR(IF(A59="","",INDEX('05_Theo_Doi_Gio_Cong_7_Ngay'!$C:$C,MATCH(58,'05_Theo_Doi_Gio_Cong_7_Ngay'!$O:$O,0))),"")</f>
      </c>
      <c r="D59" s="80">
        <f t="array" ref="D59">IFERROR(IF(A59="","",INDEX('05_Theo_Doi_Gio_Cong_7_Ngay'!$D:$D,MATCH(58,'05_Theo_Doi_Gio_Cong_7_Ngay'!$O:$O,0))),"")</f>
      </c>
      <c r="E59" s="80">
        <f t="array" ref="E59">IFERROR(IF(B59="","",INDEX('02_DS_Nhan_Viec'!$G:$G,MATCH(B59,'02_DS_Nhan_Viec'!$J:$J,0))),"")</f>
      </c>
      <c r="F59" s="79">
        <f t="array" ref="F59">IFERROR(IF(B59="","",INDEX('02_DS_Nhan_Viec'!$H:$H,MATCH(B59,'02_DS_Nhan_Viec'!$J:$J,0))),"")</f>
      </c>
      <c r="G59" s="79">
        <f t="array" ref="G59">IFERROR(IF(B59="","",INDEX('02_DS_Nhan_Viec'!$I:$I,MATCH(B59,'02_DS_Nhan_Viec'!$J:$J,0))),"")</f>
      </c>
      <c r="H59" s="79">
        <f t="array" ref="H59">IF(B59="","",IFERROR(IF(INDEX('03_Ho_So_Nhan_Vien'!$M:$M,MATCH(B59,'03_Ho_So_Nhan_Vien'!$C:$C,0))=0,"",INDEX('03_Ho_So_Nhan_Vien'!$M:$M,MATCH(B59,'03_Ho_So_Nhan_Vien'!$C:$C,0))),""))</f>
      </c>
      <c r="I59" s="78"/>
      <c r="J59" s="78"/>
      <c r="K59" s="78"/>
    </row>
    <row r="60" ht="14.25" customHeight="1" spans="1:11" x14ac:dyDescent="0.25">
      <c r="A60" s="79">
        <f>IFERROR(IF(ISNUMBER(MATCH(59,'05_Theo_Doi_Gio_Cong_7_Ngay'!$O:$O,0)),59,""),"")</f>
      </c>
      <c r="B60" s="87">
        <f t="array" ref="B60">IFERROR(IF(A60="","",INDEX('05_Theo_Doi_Gio_Cong_7_Ngay'!$B:$B,MATCH(59,'05_Theo_Doi_Gio_Cong_7_Ngay'!$O:$O,0))),"")</f>
      </c>
      <c r="C60" s="79">
        <f t="array" ref="C60">IFERROR(IF(A60="","",INDEX('05_Theo_Doi_Gio_Cong_7_Ngay'!$C:$C,MATCH(59,'05_Theo_Doi_Gio_Cong_7_Ngay'!$O:$O,0))),"")</f>
      </c>
      <c r="D60" s="80">
        <f t="array" ref="D60">IFERROR(IF(A60="","",INDEX('05_Theo_Doi_Gio_Cong_7_Ngay'!$D:$D,MATCH(59,'05_Theo_Doi_Gio_Cong_7_Ngay'!$O:$O,0))),"")</f>
      </c>
      <c r="E60" s="80">
        <f t="array" ref="E60">IFERROR(IF(B60="","",INDEX('02_DS_Nhan_Viec'!$G:$G,MATCH(B60,'02_DS_Nhan_Viec'!$J:$J,0))),"")</f>
      </c>
      <c r="F60" s="79">
        <f t="array" ref="F60">IFERROR(IF(B60="","",INDEX('02_DS_Nhan_Viec'!$H:$H,MATCH(B60,'02_DS_Nhan_Viec'!$J:$J,0))),"")</f>
      </c>
      <c r="G60" s="79">
        <f t="array" ref="G60">IFERROR(IF(B60="","",INDEX('02_DS_Nhan_Viec'!$I:$I,MATCH(B60,'02_DS_Nhan_Viec'!$J:$J,0))),"")</f>
      </c>
      <c r="H60" s="79">
        <f t="array" ref="H60">IF(B60="","",IFERROR(IF(INDEX('03_Ho_So_Nhan_Vien'!$M:$M,MATCH(B60,'03_Ho_So_Nhan_Vien'!$C:$C,0))=0,"",INDEX('03_Ho_So_Nhan_Vien'!$M:$M,MATCH(B60,'03_Ho_So_Nhan_Vien'!$C:$C,0))),""))</f>
      </c>
      <c r="I60" s="78"/>
      <c r="J60" s="78"/>
      <c r="K60" s="78"/>
    </row>
    <row r="61" ht="14.25" customHeight="1" spans="1:11" x14ac:dyDescent="0.25">
      <c r="A61" s="79">
        <f>IFERROR(IF(ISNUMBER(MATCH(60,'05_Theo_Doi_Gio_Cong_7_Ngay'!$O:$O,0)),60,""),"")</f>
      </c>
      <c r="B61" s="87">
        <f t="array" ref="B61">IFERROR(IF(A61="","",INDEX('05_Theo_Doi_Gio_Cong_7_Ngay'!$B:$B,MATCH(60,'05_Theo_Doi_Gio_Cong_7_Ngay'!$O:$O,0))),"")</f>
      </c>
      <c r="C61" s="79">
        <f t="array" ref="C61">IFERROR(IF(A61="","",INDEX('05_Theo_Doi_Gio_Cong_7_Ngay'!$C:$C,MATCH(60,'05_Theo_Doi_Gio_Cong_7_Ngay'!$O:$O,0))),"")</f>
      </c>
      <c r="D61" s="80">
        <f t="array" ref="D61">IFERROR(IF(A61="","",INDEX('05_Theo_Doi_Gio_Cong_7_Ngay'!$D:$D,MATCH(60,'05_Theo_Doi_Gio_Cong_7_Ngay'!$O:$O,0))),"")</f>
      </c>
      <c r="E61" s="80">
        <f t="array" ref="E61">IFERROR(IF(B61="","",INDEX('02_DS_Nhan_Viec'!$G:$G,MATCH(B61,'02_DS_Nhan_Viec'!$J:$J,0))),"")</f>
      </c>
      <c r="F61" s="79">
        <f t="array" ref="F61">IFERROR(IF(B61="","",INDEX('02_DS_Nhan_Viec'!$H:$H,MATCH(B61,'02_DS_Nhan_Viec'!$J:$J,0))),"")</f>
      </c>
      <c r="G61" s="79">
        <f t="array" ref="G61">IFERROR(IF(B61="","",INDEX('02_DS_Nhan_Viec'!$I:$I,MATCH(B61,'02_DS_Nhan_Viec'!$J:$J,0))),"")</f>
      </c>
      <c r="H61" s="79">
        <f t="array" ref="H61">IF(B61="","",IFERROR(IF(INDEX('03_Ho_So_Nhan_Vien'!$M:$M,MATCH(B61,'03_Ho_So_Nhan_Vien'!$C:$C,0))=0,"",INDEX('03_Ho_So_Nhan_Vien'!$M:$M,MATCH(B61,'03_Ho_So_Nhan_Vien'!$C:$C,0))),""))</f>
      </c>
      <c r="I61" s="78"/>
      <c r="J61" s="78"/>
      <c r="K61" s="78"/>
    </row>
    <row r="62" ht="14.25" customHeight="1" spans="1:11" x14ac:dyDescent="0.25">
      <c r="A62" s="79">
        <f>IFERROR(IF(ISNUMBER(MATCH(61,'05_Theo_Doi_Gio_Cong_7_Ngay'!$O:$O,0)),61,""),"")</f>
      </c>
      <c r="B62" s="87">
        <f t="array" ref="B62">IFERROR(IF(A62="","",INDEX('05_Theo_Doi_Gio_Cong_7_Ngay'!$B:$B,MATCH(61,'05_Theo_Doi_Gio_Cong_7_Ngay'!$O:$O,0))),"")</f>
      </c>
      <c r="C62" s="79">
        <f t="array" ref="C62">IFERROR(IF(A62="","",INDEX('05_Theo_Doi_Gio_Cong_7_Ngay'!$C:$C,MATCH(61,'05_Theo_Doi_Gio_Cong_7_Ngay'!$O:$O,0))),"")</f>
      </c>
      <c r="D62" s="80">
        <f t="array" ref="D62">IFERROR(IF(A62="","",INDEX('05_Theo_Doi_Gio_Cong_7_Ngay'!$D:$D,MATCH(61,'05_Theo_Doi_Gio_Cong_7_Ngay'!$O:$O,0))),"")</f>
      </c>
      <c r="E62" s="80">
        <f t="array" ref="E62">IFERROR(IF(B62="","",INDEX('02_DS_Nhan_Viec'!$G:$G,MATCH(B62,'02_DS_Nhan_Viec'!$J:$J,0))),"")</f>
      </c>
      <c r="F62" s="79">
        <f t="array" ref="F62">IFERROR(IF(B62="","",INDEX('02_DS_Nhan_Viec'!$H:$H,MATCH(B62,'02_DS_Nhan_Viec'!$J:$J,0))),"")</f>
      </c>
      <c r="G62" s="79">
        <f t="array" ref="G62">IFERROR(IF(B62="","",INDEX('02_DS_Nhan_Viec'!$I:$I,MATCH(B62,'02_DS_Nhan_Viec'!$J:$J,0))),"")</f>
      </c>
      <c r="H62" s="79">
        <f t="array" ref="H62">IF(B62="","",IFERROR(IF(INDEX('03_Ho_So_Nhan_Vien'!$M:$M,MATCH(B62,'03_Ho_So_Nhan_Vien'!$C:$C,0))=0,"",INDEX('03_Ho_So_Nhan_Vien'!$M:$M,MATCH(B62,'03_Ho_So_Nhan_Vien'!$C:$C,0))),""))</f>
      </c>
      <c r="I62" s="78"/>
      <c r="J62" s="78"/>
      <c r="K62" s="78"/>
    </row>
    <row r="63" ht="14.25" customHeight="1" spans="1:11" x14ac:dyDescent="0.25">
      <c r="A63" s="79">
        <f>IFERROR(IF(ISNUMBER(MATCH(62,'05_Theo_Doi_Gio_Cong_7_Ngay'!$O:$O,0)),62,""),"")</f>
      </c>
      <c r="B63" s="87">
        <f t="array" ref="B63">IFERROR(IF(A63="","",INDEX('05_Theo_Doi_Gio_Cong_7_Ngay'!$B:$B,MATCH(62,'05_Theo_Doi_Gio_Cong_7_Ngay'!$O:$O,0))),"")</f>
      </c>
      <c r="C63" s="79">
        <f t="array" ref="C63">IFERROR(IF(A63="","",INDEX('05_Theo_Doi_Gio_Cong_7_Ngay'!$C:$C,MATCH(62,'05_Theo_Doi_Gio_Cong_7_Ngay'!$O:$O,0))),"")</f>
      </c>
      <c r="D63" s="80">
        <f t="array" ref="D63">IFERROR(IF(A63="","",INDEX('05_Theo_Doi_Gio_Cong_7_Ngay'!$D:$D,MATCH(62,'05_Theo_Doi_Gio_Cong_7_Ngay'!$O:$O,0))),"")</f>
      </c>
      <c r="E63" s="80">
        <f t="array" ref="E63">IFERROR(IF(B63="","",INDEX('02_DS_Nhan_Viec'!$G:$G,MATCH(B63,'02_DS_Nhan_Viec'!$J:$J,0))),"")</f>
      </c>
      <c r="F63" s="79">
        <f t="array" ref="F63">IFERROR(IF(B63="","",INDEX('02_DS_Nhan_Viec'!$H:$H,MATCH(B63,'02_DS_Nhan_Viec'!$J:$J,0))),"")</f>
      </c>
      <c r="G63" s="79">
        <f t="array" ref="G63">IFERROR(IF(B63="","",INDEX('02_DS_Nhan_Viec'!$I:$I,MATCH(B63,'02_DS_Nhan_Viec'!$J:$J,0))),"")</f>
      </c>
      <c r="H63" s="79">
        <f t="array" ref="H63">IF(B63="","",IFERROR(IF(INDEX('03_Ho_So_Nhan_Vien'!$M:$M,MATCH(B63,'03_Ho_So_Nhan_Vien'!$C:$C,0))=0,"",INDEX('03_Ho_So_Nhan_Vien'!$M:$M,MATCH(B63,'03_Ho_So_Nhan_Vien'!$C:$C,0))),""))</f>
      </c>
      <c r="I63" s="78"/>
      <c r="J63" s="78"/>
      <c r="K63" s="78"/>
    </row>
    <row r="64" ht="14.25" customHeight="1" spans="1:11" x14ac:dyDescent="0.25">
      <c r="A64" s="79">
        <f>IFERROR(IF(ISNUMBER(MATCH(63,'05_Theo_Doi_Gio_Cong_7_Ngay'!$O:$O,0)),63,""),"")</f>
      </c>
      <c r="B64" s="87">
        <f t="array" ref="B64">IFERROR(IF(A64="","",INDEX('05_Theo_Doi_Gio_Cong_7_Ngay'!$B:$B,MATCH(63,'05_Theo_Doi_Gio_Cong_7_Ngay'!$O:$O,0))),"")</f>
      </c>
      <c r="C64" s="79">
        <f t="array" ref="C64">IFERROR(IF(A64="","",INDEX('05_Theo_Doi_Gio_Cong_7_Ngay'!$C:$C,MATCH(63,'05_Theo_Doi_Gio_Cong_7_Ngay'!$O:$O,0))),"")</f>
      </c>
      <c r="D64" s="80">
        <f t="array" ref="D64">IFERROR(IF(A64="","",INDEX('05_Theo_Doi_Gio_Cong_7_Ngay'!$D:$D,MATCH(63,'05_Theo_Doi_Gio_Cong_7_Ngay'!$O:$O,0))),"")</f>
      </c>
      <c r="E64" s="80">
        <f t="array" ref="E64">IFERROR(IF(B64="","",INDEX('02_DS_Nhan_Viec'!$G:$G,MATCH(B64,'02_DS_Nhan_Viec'!$J:$J,0))),"")</f>
      </c>
      <c r="F64" s="79">
        <f t="array" ref="F64">IFERROR(IF(B64="","",INDEX('02_DS_Nhan_Viec'!$H:$H,MATCH(B64,'02_DS_Nhan_Viec'!$J:$J,0))),"")</f>
      </c>
      <c r="G64" s="79">
        <f t="array" ref="G64">IFERROR(IF(B64="","",INDEX('02_DS_Nhan_Viec'!$I:$I,MATCH(B64,'02_DS_Nhan_Viec'!$J:$J,0))),"")</f>
      </c>
      <c r="H64" s="79">
        <f t="array" ref="H64">IF(B64="","",IFERROR(IF(INDEX('03_Ho_So_Nhan_Vien'!$M:$M,MATCH(B64,'03_Ho_So_Nhan_Vien'!$C:$C,0))=0,"",INDEX('03_Ho_So_Nhan_Vien'!$M:$M,MATCH(B64,'03_Ho_So_Nhan_Vien'!$C:$C,0))),""))</f>
      </c>
      <c r="I64" s="78"/>
      <c r="J64" s="78"/>
      <c r="K64" s="78"/>
    </row>
    <row r="65" ht="14.25" customHeight="1" spans="1:11" x14ac:dyDescent="0.25">
      <c r="A65" s="79">
        <f>IFERROR(IF(ISNUMBER(MATCH(64,'05_Theo_Doi_Gio_Cong_7_Ngay'!$O:$O,0)),64,""),"")</f>
      </c>
      <c r="B65" s="87">
        <f t="array" ref="B65">IFERROR(IF(A65="","",INDEX('05_Theo_Doi_Gio_Cong_7_Ngay'!$B:$B,MATCH(64,'05_Theo_Doi_Gio_Cong_7_Ngay'!$O:$O,0))),"")</f>
      </c>
      <c r="C65" s="79">
        <f t="array" ref="C65">IFERROR(IF(A65="","",INDEX('05_Theo_Doi_Gio_Cong_7_Ngay'!$C:$C,MATCH(64,'05_Theo_Doi_Gio_Cong_7_Ngay'!$O:$O,0))),"")</f>
      </c>
      <c r="D65" s="80">
        <f t="array" ref="D65">IFERROR(IF(A65="","",INDEX('05_Theo_Doi_Gio_Cong_7_Ngay'!$D:$D,MATCH(64,'05_Theo_Doi_Gio_Cong_7_Ngay'!$O:$O,0))),"")</f>
      </c>
      <c r="E65" s="80">
        <f t="array" ref="E65">IFERROR(IF(B65="","",INDEX('02_DS_Nhan_Viec'!$G:$G,MATCH(B65,'02_DS_Nhan_Viec'!$J:$J,0))),"")</f>
      </c>
      <c r="F65" s="79">
        <f t="array" ref="F65">IFERROR(IF(B65="","",INDEX('02_DS_Nhan_Viec'!$H:$H,MATCH(B65,'02_DS_Nhan_Viec'!$J:$J,0))),"")</f>
      </c>
      <c r="G65" s="79">
        <f t="array" ref="G65">IFERROR(IF(B65="","",INDEX('02_DS_Nhan_Viec'!$I:$I,MATCH(B65,'02_DS_Nhan_Viec'!$J:$J,0))),"")</f>
      </c>
      <c r="H65" s="79">
        <f t="array" ref="H65">IF(B65="","",IFERROR(IF(INDEX('03_Ho_So_Nhan_Vien'!$M:$M,MATCH(B65,'03_Ho_So_Nhan_Vien'!$C:$C,0))=0,"",INDEX('03_Ho_So_Nhan_Vien'!$M:$M,MATCH(B65,'03_Ho_So_Nhan_Vien'!$C:$C,0))),""))</f>
      </c>
      <c r="I65" s="78"/>
      <c r="J65" s="78"/>
      <c r="K65" s="78"/>
    </row>
    <row r="66" ht="14.25" customHeight="1" spans="1:11" x14ac:dyDescent="0.25">
      <c r="A66" s="79">
        <f>IFERROR(IF(ISNUMBER(MATCH(65,'05_Theo_Doi_Gio_Cong_7_Ngay'!$O:$O,0)),65,""),"")</f>
      </c>
      <c r="B66" s="87">
        <f t="array" ref="B66">IFERROR(IF(A66="","",INDEX('05_Theo_Doi_Gio_Cong_7_Ngay'!$B:$B,MATCH(65,'05_Theo_Doi_Gio_Cong_7_Ngay'!$O:$O,0))),"")</f>
      </c>
      <c r="C66" s="79">
        <f t="array" ref="C66">IFERROR(IF(A66="","",INDEX('05_Theo_Doi_Gio_Cong_7_Ngay'!$C:$C,MATCH(65,'05_Theo_Doi_Gio_Cong_7_Ngay'!$O:$O,0))),"")</f>
      </c>
      <c r="D66" s="80">
        <f t="array" ref="D66">IFERROR(IF(A66="","",INDEX('05_Theo_Doi_Gio_Cong_7_Ngay'!$D:$D,MATCH(65,'05_Theo_Doi_Gio_Cong_7_Ngay'!$O:$O,0))),"")</f>
      </c>
      <c r="E66" s="80">
        <f t="array" ref="E66">IFERROR(IF(B66="","",INDEX('02_DS_Nhan_Viec'!$G:$G,MATCH(B66,'02_DS_Nhan_Viec'!$J:$J,0))),"")</f>
      </c>
      <c r="F66" s="79">
        <f t="array" ref="F66">IFERROR(IF(B66="","",INDEX('02_DS_Nhan_Viec'!$H:$H,MATCH(B66,'02_DS_Nhan_Viec'!$J:$J,0))),"")</f>
      </c>
      <c r="G66" s="79">
        <f t="array" ref="G66">IFERROR(IF(B66="","",INDEX('02_DS_Nhan_Viec'!$I:$I,MATCH(B66,'02_DS_Nhan_Viec'!$J:$J,0))),"")</f>
      </c>
      <c r="H66" s="79">
        <f t="array" ref="H66">IF(B66="","",IFERROR(IF(INDEX('03_Ho_So_Nhan_Vien'!$M:$M,MATCH(B66,'03_Ho_So_Nhan_Vien'!$C:$C,0))=0,"",INDEX('03_Ho_So_Nhan_Vien'!$M:$M,MATCH(B66,'03_Ho_So_Nhan_Vien'!$C:$C,0))),""))</f>
      </c>
      <c r="I66" s="78"/>
      <c r="J66" s="78"/>
      <c r="K66" s="78"/>
    </row>
    <row r="67" ht="14.25" customHeight="1" spans="1:11" x14ac:dyDescent="0.25">
      <c r="A67" s="79">
        <f>IFERROR(IF(ISNUMBER(MATCH(66,'05_Theo_Doi_Gio_Cong_7_Ngay'!$O:$O,0)),66,""),"")</f>
      </c>
      <c r="B67" s="87">
        <f t="array" ref="B67">IFERROR(IF(A67="","",INDEX('05_Theo_Doi_Gio_Cong_7_Ngay'!$B:$B,MATCH(66,'05_Theo_Doi_Gio_Cong_7_Ngay'!$O:$O,0))),"")</f>
      </c>
      <c r="C67" s="79">
        <f t="array" ref="C67">IFERROR(IF(A67="","",INDEX('05_Theo_Doi_Gio_Cong_7_Ngay'!$C:$C,MATCH(66,'05_Theo_Doi_Gio_Cong_7_Ngay'!$O:$O,0))),"")</f>
      </c>
      <c r="D67" s="80">
        <f t="array" ref="D67">IFERROR(IF(A67="","",INDEX('05_Theo_Doi_Gio_Cong_7_Ngay'!$D:$D,MATCH(66,'05_Theo_Doi_Gio_Cong_7_Ngay'!$O:$O,0))),"")</f>
      </c>
      <c r="E67" s="80">
        <f t="array" ref="E67">IFERROR(IF(B67="","",INDEX('02_DS_Nhan_Viec'!$G:$G,MATCH(B67,'02_DS_Nhan_Viec'!$J:$J,0))),"")</f>
      </c>
      <c r="F67" s="79">
        <f t="array" ref="F67">IFERROR(IF(B67="","",INDEX('02_DS_Nhan_Viec'!$H:$H,MATCH(B67,'02_DS_Nhan_Viec'!$J:$J,0))),"")</f>
      </c>
      <c r="G67" s="79">
        <f t="array" ref="G67">IFERROR(IF(B67="","",INDEX('02_DS_Nhan_Viec'!$I:$I,MATCH(B67,'02_DS_Nhan_Viec'!$J:$J,0))),"")</f>
      </c>
      <c r="H67" s="79">
        <f t="array" ref="H67">IF(B67="","",IFERROR(IF(INDEX('03_Ho_So_Nhan_Vien'!$M:$M,MATCH(B67,'03_Ho_So_Nhan_Vien'!$C:$C,0))=0,"",INDEX('03_Ho_So_Nhan_Vien'!$M:$M,MATCH(B67,'03_Ho_So_Nhan_Vien'!$C:$C,0))),""))</f>
      </c>
      <c r="I67" s="78"/>
      <c r="J67" s="78"/>
      <c r="K67" s="78"/>
    </row>
    <row r="68" ht="14.25" customHeight="1" spans="1:11" x14ac:dyDescent="0.25">
      <c r="A68" s="79">
        <f>IFERROR(IF(ISNUMBER(MATCH(67,'05_Theo_Doi_Gio_Cong_7_Ngay'!$O:$O,0)),67,""),"")</f>
      </c>
      <c r="B68" s="87">
        <f t="array" ref="B68">IFERROR(IF(A68="","",INDEX('05_Theo_Doi_Gio_Cong_7_Ngay'!$B:$B,MATCH(67,'05_Theo_Doi_Gio_Cong_7_Ngay'!$O:$O,0))),"")</f>
      </c>
      <c r="C68" s="79">
        <f t="array" ref="C68">IFERROR(IF(A68="","",INDEX('05_Theo_Doi_Gio_Cong_7_Ngay'!$C:$C,MATCH(67,'05_Theo_Doi_Gio_Cong_7_Ngay'!$O:$O,0))),"")</f>
      </c>
      <c r="D68" s="80">
        <f t="array" ref="D68">IFERROR(IF(A68="","",INDEX('05_Theo_Doi_Gio_Cong_7_Ngay'!$D:$D,MATCH(67,'05_Theo_Doi_Gio_Cong_7_Ngay'!$O:$O,0))),"")</f>
      </c>
      <c r="E68" s="80">
        <f t="array" ref="E68">IFERROR(IF(B68="","",INDEX('02_DS_Nhan_Viec'!$G:$G,MATCH(B68,'02_DS_Nhan_Viec'!$J:$J,0))),"")</f>
      </c>
      <c r="F68" s="79">
        <f t="array" ref="F68">IFERROR(IF(B68="","",INDEX('02_DS_Nhan_Viec'!$H:$H,MATCH(B68,'02_DS_Nhan_Viec'!$J:$J,0))),"")</f>
      </c>
      <c r="G68" s="79">
        <f t="array" ref="G68">IFERROR(IF(B68="","",INDEX('02_DS_Nhan_Viec'!$I:$I,MATCH(B68,'02_DS_Nhan_Viec'!$J:$J,0))),"")</f>
      </c>
      <c r="H68" s="79">
        <f t="array" ref="H68">IF(B68="","",IFERROR(IF(INDEX('03_Ho_So_Nhan_Vien'!$M:$M,MATCH(B68,'03_Ho_So_Nhan_Vien'!$C:$C,0))=0,"",INDEX('03_Ho_So_Nhan_Vien'!$M:$M,MATCH(B68,'03_Ho_So_Nhan_Vien'!$C:$C,0))),""))</f>
      </c>
      <c r="I68" s="78"/>
      <c r="J68" s="78"/>
      <c r="K68" s="78"/>
    </row>
    <row r="69" ht="14.25" customHeight="1" spans="1:11" x14ac:dyDescent="0.25">
      <c r="A69" s="79">
        <f>IFERROR(IF(ISNUMBER(MATCH(68,'05_Theo_Doi_Gio_Cong_7_Ngay'!$O:$O,0)),68,""),"")</f>
      </c>
      <c r="B69" s="87">
        <f t="array" ref="B69">IFERROR(IF(A69="","",INDEX('05_Theo_Doi_Gio_Cong_7_Ngay'!$B:$B,MATCH(68,'05_Theo_Doi_Gio_Cong_7_Ngay'!$O:$O,0))),"")</f>
      </c>
      <c r="C69" s="79">
        <f t="array" ref="C69">IFERROR(IF(A69="","",INDEX('05_Theo_Doi_Gio_Cong_7_Ngay'!$C:$C,MATCH(68,'05_Theo_Doi_Gio_Cong_7_Ngay'!$O:$O,0))),"")</f>
      </c>
      <c r="D69" s="80">
        <f t="array" ref="D69">IFERROR(IF(A69="","",INDEX('05_Theo_Doi_Gio_Cong_7_Ngay'!$D:$D,MATCH(68,'05_Theo_Doi_Gio_Cong_7_Ngay'!$O:$O,0))),"")</f>
      </c>
      <c r="E69" s="80">
        <f t="array" ref="E69">IFERROR(IF(B69="","",INDEX('02_DS_Nhan_Viec'!$G:$G,MATCH(B69,'02_DS_Nhan_Viec'!$J:$J,0))),"")</f>
      </c>
      <c r="F69" s="79">
        <f t="array" ref="F69">IFERROR(IF(B69="","",INDEX('02_DS_Nhan_Viec'!$H:$H,MATCH(B69,'02_DS_Nhan_Viec'!$J:$J,0))),"")</f>
      </c>
      <c r="G69" s="79">
        <f t="array" ref="G69">IFERROR(IF(B69="","",INDEX('02_DS_Nhan_Viec'!$I:$I,MATCH(B69,'02_DS_Nhan_Viec'!$J:$J,0))),"")</f>
      </c>
      <c r="H69" s="79">
        <f t="array" ref="H69">IF(B69="","",IFERROR(IF(INDEX('03_Ho_So_Nhan_Vien'!$M:$M,MATCH(B69,'03_Ho_So_Nhan_Vien'!$C:$C,0))=0,"",INDEX('03_Ho_So_Nhan_Vien'!$M:$M,MATCH(B69,'03_Ho_So_Nhan_Vien'!$C:$C,0))),""))</f>
      </c>
      <c r="I69" s="78"/>
      <c r="J69" s="78"/>
      <c r="K69" s="78"/>
    </row>
    <row r="70" ht="14.25" customHeight="1" spans="1:11" x14ac:dyDescent="0.25">
      <c r="A70" s="79">
        <f>IFERROR(IF(ISNUMBER(MATCH(69,'05_Theo_Doi_Gio_Cong_7_Ngay'!$O:$O,0)),69,""),"")</f>
      </c>
      <c r="B70" s="87">
        <f t="array" ref="B70">IFERROR(IF(A70="","",INDEX('05_Theo_Doi_Gio_Cong_7_Ngay'!$B:$B,MATCH(69,'05_Theo_Doi_Gio_Cong_7_Ngay'!$O:$O,0))),"")</f>
      </c>
      <c r="C70" s="79">
        <f t="array" ref="C70">IFERROR(IF(A70="","",INDEX('05_Theo_Doi_Gio_Cong_7_Ngay'!$C:$C,MATCH(69,'05_Theo_Doi_Gio_Cong_7_Ngay'!$O:$O,0))),"")</f>
      </c>
      <c r="D70" s="80">
        <f t="array" ref="D70">IFERROR(IF(A70="","",INDEX('05_Theo_Doi_Gio_Cong_7_Ngay'!$D:$D,MATCH(69,'05_Theo_Doi_Gio_Cong_7_Ngay'!$O:$O,0))),"")</f>
      </c>
      <c r="E70" s="80">
        <f t="array" ref="E70">IFERROR(IF(B70="","",INDEX('02_DS_Nhan_Viec'!$G:$G,MATCH(B70,'02_DS_Nhan_Viec'!$J:$J,0))),"")</f>
      </c>
      <c r="F70" s="79">
        <f t="array" ref="F70">IFERROR(IF(B70="","",INDEX('02_DS_Nhan_Viec'!$H:$H,MATCH(B70,'02_DS_Nhan_Viec'!$J:$J,0))),"")</f>
      </c>
      <c r="G70" s="79">
        <f t="array" ref="G70">IFERROR(IF(B70="","",INDEX('02_DS_Nhan_Viec'!$I:$I,MATCH(B70,'02_DS_Nhan_Viec'!$J:$J,0))),"")</f>
      </c>
      <c r="H70" s="79">
        <f t="array" ref="H70">IF(B70="","",IFERROR(IF(INDEX('03_Ho_So_Nhan_Vien'!$M:$M,MATCH(B70,'03_Ho_So_Nhan_Vien'!$C:$C,0))=0,"",INDEX('03_Ho_So_Nhan_Vien'!$M:$M,MATCH(B70,'03_Ho_So_Nhan_Vien'!$C:$C,0))),""))</f>
      </c>
      <c r="I70" s="78"/>
      <c r="J70" s="78"/>
      <c r="K70" s="78"/>
    </row>
    <row r="71" ht="14.25" customHeight="1" spans="1:11" x14ac:dyDescent="0.25">
      <c r="A71" s="79">
        <f>IFERROR(IF(ISNUMBER(MATCH(70,'05_Theo_Doi_Gio_Cong_7_Ngay'!$O:$O,0)),70,""),"")</f>
      </c>
      <c r="B71" s="87">
        <f t="array" ref="B71">IFERROR(IF(A71="","",INDEX('05_Theo_Doi_Gio_Cong_7_Ngay'!$B:$B,MATCH(70,'05_Theo_Doi_Gio_Cong_7_Ngay'!$O:$O,0))),"")</f>
      </c>
      <c r="C71" s="79">
        <f t="array" ref="C71">IFERROR(IF(A71="","",INDEX('05_Theo_Doi_Gio_Cong_7_Ngay'!$C:$C,MATCH(70,'05_Theo_Doi_Gio_Cong_7_Ngay'!$O:$O,0))),"")</f>
      </c>
      <c r="D71" s="80">
        <f t="array" ref="D71">IFERROR(IF(A71="","",INDEX('05_Theo_Doi_Gio_Cong_7_Ngay'!$D:$D,MATCH(70,'05_Theo_Doi_Gio_Cong_7_Ngay'!$O:$O,0))),"")</f>
      </c>
      <c r="E71" s="80">
        <f t="array" ref="E71">IFERROR(IF(B71="","",INDEX('02_DS_Nhan_Viec'!$G:$G,MATCH(B71,'02_DS_Nhan_Viec'!$J:$J,0))),"")</f>
      </c>
      <c r="F71" s="79">
        <f t="array" ref="F71">IFERROR(IF(B71="","",INDEX('02_DS_Nhan_Viec'!$H:$H,MATCH(B71,'02_DS_Nhan_Viec'!$J:$J,0))),"")</f>
      </c>
      <c r="G71" s="79">
        <f t="array" ref="G71">IFERROR(IF(B71="","",INDEX('02_DS_Nhan_Viec'!$I:$I,MATCH(B71,'02_DS_Nhan_Viec'!$J:$J,0))),"")</f>
      </c>
      <c r="H71" s="79">
        <f t="array" ref="H71">IF(B71="","",IFERROR(IF(INDEX('03_Ho_So_Nhan_Vien'!$M:$M,MATCH(B71,'03_Ho_So_Nhan_Vien'!$C:$C,0))=0,"",INDEX('03_Ho_So_Nhan_Vien'!$M:$M,MATCH(B71,'03_Ho_So_Nhan_Vien'!$C:$C,0))),""))</f>
      </c>
      <c r="I71" s="78"/>
      <c r="J71" s="78"/>
      <c r="K71" s="78"/>
    </row>
    <row r="72" ht="14.25" customHeight="1" spans="1:11" x14ac:dyDescent="0.25">
      <c r="A72" s="79">
        <f>IFERROR(IF(ISNUMBER(MATCH(71,'05_Theo_Doi_Gio_Cong_7_Ngay'!$O:$O,0)),71,""),"")</f>
      </c>
      <c r="B72" s="87">
        <f t="array" ref="B72">IFERROR(IF(A72="","",INDEX('05_Theo_Doi_Gio_Cong_7_Ngay'!$B:$B,MATCH(71,'05_Theo_Doi_Gio_Cong_7_Ngay'!$O:$O,0))),"")</f>
      </c>
      <c r="C72" s="79">
        <f t="array" ref="C72">IFERROR(IF(A72="","",INDEX('05_Theo_Doi_Gio_Cong_7_Ngay'!$C:$C,MATCH(71,'05_Theo_Doi_Gio_Cong_7_Ngay'!$O:$O,0))),"")</f>
      </c>
      <c r="D72" s="80">
        <f t="array" ref="D72">IFERROR(IF(A72="","",INDEX('05_Theo_Doi_Gio_Cong_7_Ngay'!$D:$D,MATCH(71,'05_Theo_Doi_Gio_Cong_7_Ngay'!$O:$O,0))),"")</f>
      </c>
      <c r="E72" s="80">
        <f t="array" ref="E72">IFERROR(IF(B72="","",INDEX('02_DS_Nhan_Viec'!$G:$G,MATCH(B72,'02_DS_Nhan_Viec'!$J:$J,0))),"")</f>
      </c>
      <c r="F72" s="79">
        <f t="array" ref="F72">IFERROR(IF(B72="","",INDEX('02_DS_Nhan_Viec'!$H:$H,MATCH(B72,'02_DS_Nhan_Viec'!$J:$J,0))),"")</f>
      </c>
      <c r="G72" s="79">
        <f t="array" ref="G72">IFERROR(IF(B72="","",INDEX('02_DS_Nhan_Viec'!$I:$I,MATCH(B72,'02_DS_Nhan_Viec'!$J:$J,0))),"")</f>
      </c>
      <c r="H72" s="79">
        <f t="array" ref="H72">IF(B72="","",IFERROR(IF(INDEX('03_Ho_So_Nhan_Vien'!$M:$M,MATCH(B72,'03_Ho_So_Nhan_Vien'!$C:$C,0))=0,"",INDEX('03_Ho_So_Nhan_Vien'!$M:$M,MATCH(B72,'03_Ho_So_Nhan_Vien'!$C:$C,0))),""))</f>
      </c>
      <c r="I72" s="78"/>
      <c r="J72" s="78"/>
      <c r="K72" s="78"/>
    </row>
    <row r="73" ht="14.25" customHeight="1" spans="1:11" x14ac:dyDescent="0.25">
      <c r="A73" s="79">
        <f>IFERROR(IF(ISNUMBER(MATCH(72,'05_Theo_Doi_Gio_Cong_7_Ngay'!$O:$O,0)),72,""),"")</f>
      </c>
      <c r="B73" s="87">
        <f t="array" ref="B73">IFERROR(IF(A73="","",INDEX('05_Theo_Doi_Gio_Cong_7_Ngay'!$B:$B,MATCH(72,'05_Theo_Doi_Gio_Cong_7_Ngay'!$O:$O,0))),"")</f>
      </c>
      <c r="C73" s="79">
        <f t="array" ref="C73">IFERROR(IF(A73="","",INDEX('05_Theo_Doi_Gio_Cong_7_Ngay'!$C:$C,MATCH(72,'05_Theo_Doi_Gio_Cong_7_Ngay'!$O:$O,0))),"")</f>
      </c>
      <c r="D73" s="80">
        <f t="array" ref="D73">IFERROR(IF(A73="","",INDEX('05_Theo_Doi_Gio_Cong_7_Ngay'!$D:$D,MATCH(72,'05_Theo_Doi_Gio_Cong_7_Ngay'!$O:$O,0))),"")</f>
      </c>
      <c r="E73" s="80">
        <f t="array" ref="E73">IFERROR(IF(B73="","",INDEX('02_DS_Nhan_Viec'!$G:$G,MATCH(B73,'02_DS_Nhan_Viec'!$J:$J,0))),"")</f>
      </c>
      <c r="F73" s="79">
        <f t="array" ref="F73">IFERROR(IF(B73="","",INDEX('02_DS_Nhan_Viec'!$H:$H,MATCH(B73,'02_DS_Nhan_Viec'!$J:$J,0))),"")</f>
      </c>
      <c r="G73" s="79">
        <f t="array" ref="G73">IFERROR(IF(B73="","",INDEX('02_DS_Nhan_Viec'!$I:$I,MATCH(B73,'02_DS_Nhan_Viec'!$J:$J,0))),"")</f>
      </c>
      <c r="H73" s="79">
        <f t="array" ref="H73">IF(B73="","",IFERROR(IF(INDEX('03_Ho_So_Nhan_Vien'!$M:$M,MATCH(B73,'03_Ho_So_Nhan_Vien'!$C:$C,0))=0,"",INDEX('03_Ho_So_Nhan_Vien'!$M:$M,MATCH(B73,'03_Ho_So_Nhan_Vien'!$C:$C,0))),""))</f>
      </c>
      <c r="I73" s="78"/>
      <c r="J73" s="78"/>
      <c r="K73" s="78"/>
    </row>
    <row r="74" ht="14.25" customHeight="1" spans="1:11" x14ac:dyDescent="0.25">
      <c r="A74" s="79">
        <f>IFERROR(IF(ISNUMBER(MATCH(73,'05_Theo_Doi_Gio_Cong_7_Ngay'!$O:$O,0)),73,""),"")</f>
      </c>
      <c r="B74" s="87">
        <f t="array" ref="B74">IFERROR(IF(A74="","",INDEX('05_Theo_Doi_Gio_Cong_7_Ngay'!$B:$B,MATCH(73,'05_Theo_Doi_Gio_Cong_7_Ngay'!$O:$O,0))),"")</f>
      </c>
      <c r="C74" s="79">
        <f t="array" ref="C74">IFERROR(IF(A74="","",INDEX('05_Theo_Doi_Gio_Cong_7_Ngay'!$C:$C,MATCH(73,'05_Theo_Doi_Gio_Cong_7_Ngay'!$O:$O,0))),"")</f>
      </c>
      <c r="D74" s="80">
        <f t="array" ref="D74">IFERROR(IF(A74="","",INDEX('05_Theo_Doi_Gio_Cong_7_Ngay'!$D:$D,MATCH(73,'05_Theo_Doi_Gio_Cong_7_Ngay'!$O:$O,0))),"")</f>
      </c>
      <c r="E74" s="80">
        <f t="array" ref="E74">IFERROR(IF(B74="","",INDEX('02_DS_Nhan_Viec'!$G:$G,MATCH(B74,'02_DS_Nhan_Viec'!$J:$J,0))),"")</f>
      </c>
      <c r="F74" s="79">
        <f t="array" ref="F74">IFERROR(IF(B74="","",INDEX('02_DS_Nhan_Viec'!$H:$H,MATCH(B74,'02_DS_Nhan_Viec'!$J:$J,0))),"")</f>
      </c>
      <c r="G74" s="79">
        <f t="array" ref="G74">IFERROR(IF(B74="","",INDEX('02_DS_Nhan_Viec'!$I:$I,MATCH(B74,'02_DS_Nhan_Viec'!$J:$J,0))),"")</f>
      </c>
      <c r="H74" s="79">
        <f t="array" ref="H74">IF(B74="","",IFERROR(IF(INDEX('03_Ho_So_Nhan_Vien'!$M:$M,MATCH(B74,'03_Ho_So_Nhan_Vien'!$C:$C,0))=0,"",INDEX('03_Ho_So_Nhan_Vien'!$M:$M,MATCH(B74,'03_Ho_So_Nhan_Vien'!$C:$C,0))),""))</f>
      </c>
      <c r="I74" s="78"/>
      <c r="J74" s="78"/>
      <c r="K74" s="78"/>
    </row>
    <row r="75" ht="14.25" customHeight="1" spans="1:11" x14ac:dyDescent="0.25">
      <c r="A75" s="79">
        <f>IFERROR(IF(ISNUMBER(MATCH(74,'05_Theo_Doi_Gio_Cong_7_Ngay'!$O:$O,0)),74,""),"")</f>
      </c>
      <c r="B75" s="87">
        <f t="array" ref="B75">IFERROR(IF(A75="","",INDEX('05_Theo_Doi_Gio_Cong_7_Ngay'!$B:$B,MATCH(74,'05_Theo_Doi_Gio_Cong_7_Ngay'!$O:$O,0))),"")</f>
      </c>
      <c r="C75" s="79">
        <f t="array" ref="C75">IFERROR(IF(A75="","",INDEX('05_Theo_Doi_Gio_Cong_7_Ngay'!$C:$C,MATCH(74,'05_Theo_Doi_Gio_Cong_7_Ngay'!$O:$O,0))),"")</f>
      </c>
      <c r="D75" s="80">
        <f t="array" ref="D75">IFERROR(IF(A75="","",INDEX('05_Theo_Doi_Gio_Cong_7_Ngay'!$D:$D,MATCH(74,'05_Theo_Doi_Gio_Cong_7_Ngay'!$O:$O,0))),"")</f>
      </c>
      <c r="E75" s="80">
        <f t="array" ref="E75">IFERROR(IF(B75="","",INDEX('02_DS_Nhan_Viec'!$G:$G,MATCH(B75,'02_DS_Nhan_Viec'!$J:$J,0))),"")</f>
      </c>
      <c r="F75" s="79">
        <f t="array" ref="F75">IFERROR(IF(B75="","",INDEX('02_DS_Nhan_Viec'!$H:$H,MATCH(B75,'02_DS_Nhan_Viec'!$J:$J,0))),"")</f>
      </c>
      <c r="G75" s="79">
        <f t="array" ref="G75">IFERROR(IF(B75="","",INDEX('02_DS_Nhan_Viec'!$I:$I,MATCH(B75,'02_DS_Nhan_Viec'!$J:$J,0))),"")</f>
      </c>
      <c r="H75" s="79">
        <f t="array" ref="H75">IF(B75="","",IFERROR(IF(INDEX('03_Ho_So_Nhan_Vien'!$M:$M,MATCH(B75,'03_Ho_So_Nhan_Vien'!$C:$C,0))=0,"",INDEX('03_Ho_So_Nhan_Vien'!$M:$M,MATCH(B75,'03_Ho_So_Nhan_Vien'!$C:$C,0))),""))</f>
      </c>
      <c r="I75" s="78"/>
      <c r="J75" s="78"/>
      <c r="K75" s="78"/>
    </row>
    <row r="76" ht="14.25" customHeight="1" spans="1:11" x14ac:dyDescent="0.25">
      <c r="A76" s="79">
        <f>IFERROR(IF(ISNUMBER(MATCH(75,'05_Theo_Doi_Gio_Cong_7_Ngay'!$O:$O,0)),75,""),"")</f>
      </c>
      <c r="B76" s="87">
        <f t="array" ref="B76">IFERROR(IF(A76="","",INDEX('05_Theo_Doi_Gio_Cong_7_Ngay'!$B:$B,MATCH(75,'05_Theo_Doi_Gio_Cong_7_Ngay'!$O:$O,0))),"")</f>
      </c>
      <c r="C76" s="79">
        <f t="array" ref="C76">IFERROR(IF(A76="","",INDEX('05_Theo_Doi_Gio_Cong_7_Ngay'!$C:$C,MATCH(75,'05_Theo_Doi_Gio_Cong_7_Ngay'!$O:$O,0))),"")</f>
      </c>
      <c r="D76" s="80">
        <f t="array" ref="D76">IFERROR(IF(A76="","",INDEX('05_Theo_Doi_Gio_Cong_7_Ngay'!$D:$D,MATCH(75,'05_Theo_Doi_Gio_Cong_7_Ngay'!$O:$O,0))),"")</f>
      </c>
      <c r="E76" s="80">
        <f t="array" ref="E76">IFERROR(IF(B76="","",INDEX('02_DS_Nhan_Viec'!$G:$G,MATCH(B76,'02_DS_Nhan_Viec'!$J:$J,0))),"")</f>
      </c>
      <c r="F76" s="79">
        <f t="array" ref="F76">IFERROR(IF(B76="","",INDEX('02_DS_Nhan_Viec'!$H:$H,MATCH(B76,'02_DS_Nhan_Viec'!$J:$J,0))),"")</f>
      </c>
      <c r="G76" s="79">
        <f t="array" ref="G76">IFERROR(IF(B76="","",INDEX('02_DS_Nhan_Viec'!$I:$I,MATCH(B76,'02_DS_Nhan_Viec'!$J:$J,0))),"")</f>
      </c>
      <c r="H76" s="79">
        <f t="array" ref="H76">IF(B76="","",IFERROR(IF(INDEX('03_Ho_So_Nhan_Vien'!$M:$M,MATCH(B76,'03_Ho_So_Nhan_Vien'!$C:$C,0))=0,"",INDEX('03_Ho_So_Nhan_Vien'!$M:$M,MATCH(B76,'03_Ho_So_Nhan_Vien'!$C:$C,0))),""))</f>
      </c>
      <c r="I76" s="78"/>
      <c r="J76" s="78"/>
      <c r="K76" s="78"/>
    </row>
    <row r="77" ht="14.25" customHeight="1" spans="1:11" x14ac:dyDescent="0.25">
      <c r="A77" s="79">
        <f>IFERROR(IF(ISNUMBER(MATCH(76,'05_Theo_Doi_Gio_Cong_7_Ngay'!$O:$O,0)),76,""),"")</f>
      </c>
      <c r="B77" s="87">
        <f t="array" ref="B77">IFERROR(IF(A77="","",INDEX('05_Theo_Doi_Gio_Cong_7_Ngay'!$B:$B,MATCH(76,'05_Theo_Doi_Gio_Cong_7_Ngay'!$O:$O,0))),"")</f>
      </c>
      <c r="C77" s="79">
        <f t="array" ref="C77">IFERROR(IF(A77="","",INDEX('05_Theo_Doi_Gio_Cong_7_Ngay'!$C:$C,MATCH(76,'05_Theo_Doi_Gio_Cong_7_Ngay'!$O:$O,0))),"")</f>
      </c>
      <c r="D77" s="80">
        <f t="array" ref="D77">IFERROR(IF(A77="","",INDEX('05_Theo_Doi_Gio_Cong_7_Ngay'!$D:$D,MATCH(76,'05_Theo_Doi_Gio_Cong_7_Ngay'!$O:$O,0))),"")</f>
      </c>
      <c r="E77" s="80">
        <f t="array" ref="E77">IFERROR(IF(B77="","",INDEX('02_DS_Nhan_Viec'!$G:$G,MATCH(B77,'02_DS_Nhan_Viec'!$J:$J,0))),"")</f>
      </c>
      <c r="F77" s="79">
        <f t="array" ref="F77">IFERROR(IF(B77="","",INDEX('02_DS_Nhan_Viec'!$H:$H,MATCH(B77,'02_DS_Nhan_Viec'!$J:$J,0))),"")</f>
      </c>
      <c r="G77" s="79">
        <f t="array" ref="G77">IFERROR(IF(B77="","",INDEX('02_DS_Nhan_Viec'!$I:$I,MATCH(B77,'02_DS_Nhan_Viec'!$J:$J,0))),"")</f>
      </c>
      <c r="H77" s="79">
        <f t="array" ref="H77">IF(B77="","",IFERROR(IF(INDEX('03_Ho_So_Nhan_Vien'!$M:$M,MATCH(B77,'03_Ho_So_Nhan_Vien'!$C:$C,0))=0,"",INDEX('03_Ho_So_Nhan_Vien'!$M:$M,MATCH(B77,'03_Ho_So_Nhan_Vien'!$C:$C,0))),""))</f>
      </c>
      <c r="I77" s="78"/>
      <c r="J77" s="78"/>
      <c r="K77" s="78"/>
    </row>
    <row r="78" ht="14.25" customHeight="1" spans="1:11" x14ac:dyDescent="0.25">
      <c r="A78" s="79">
        <f>IFERROR(IF(ISNUMBER(MATCH(77,'05_Theo_Doi_Gio_Cong_7_Ngay'!$O:$O,0)),77,""),"")</f>
      </c>
      <c r="B78" s="87">
        <f t="array" ref="B78">IFERROR(IF(A78="","",INDEX('05_Theo_Doi_Gio_Cong_7_Ngay'!$B:$B,MATCH(77,'05_Theo_Doi_Gio_Cong_7_Ngay'!$O:$O,0))),"")</f>
      </c>
      <c r="C78" s="79">
        <f t="array" ref="C78">IFERROR(IF(A78="","",INDEX('05_Theo_Doi_Gio_Cong_7_Ngay'!$C:$C,MATCH(77,'05_Theo_Doi_Gio_Cong_7_Ngay'!$O:$O,0))),"")</f>
      </c>
      <c r="D78" s="80">
        <f t="array" ref="D78">IFERROR(IF(A78="","",INDEX('05_Theo_Doi_Gio_Cong_7_Ngay'!$D:$D,MATCH(77,'05_Theo_Doi_Gio_Cong_7_Ngay'!$O:$O,0))),"")</f>
      </c>
      <c r="E78" s="80">
        <f t="array" ref="E78">IFERROR(IF(B78="","",INDEX('02_DS_Nhan_Viec'!$G:$G,MATCH(B78,'02_DS_Nhan_Viec'!$J:$J,0))),"")</f>
      </c>
      <c r="F78" s="79">
        <f t="array" ref="F78">IFERROR(IF(B78="","",INDEX('02_DS_Nhan_Viec'!$H:$H,MATCH(B78,'02_DS_Nhan_Viec'!$J:$J,0))),"")</f>
      </c>
      <c r="G78" s="79">
        <f t="array" ref="G78">IFERROR(IF(B78="","",INDEX('02_DS_Nhan_Viec'!$I:$I,MATCH(B78,'02_DS_Nhan_Viec'!$J:$J,0))),"")</f>
      </c>
      <c r="H78" s="79">
        <f t="array" ref="H78">IF(B78="","",IFERROR(IF(INDEX('03_Ho_So_Nhan_Vien'!$M:$M,MATCH(B78,'03_Ho_So_Nhan_Vien'!$C:$C,0))=0,"",INDEX('03_Ho_So_Nhan_Vien'!$M:$M,MATCH(B78,'03_Ho_So_Nhan_Vien'!$C:$C,0))),""))</f>
      </c>
      <c r="I78" s="78"/>
      <c r="J78" s="78"/>
      <c r="K78" s="78"/>
    </row>
    <row r="79" ht="14.25" customHeight="1" spans="1:11" x14ac:dyDescent="0.25">
      <c r="A79" s="79">
        <f>IFERROR(IF(ISNUMBER(MATCH(78,'05_Theo_Doi_Gio_Cong_7_Ngay'!$O:$O,0)),78,""),"")</f>
      </c>
      <c r="B79" s="87">
        <f t="array" ref="B79">IFERROR(IF(A79="","",INDEX('05_Theo_Doi_Gio_Cong_7_Ngay'!$B:$B,MATCH(78,'05_Theo_Doi_Gio_Cong_7_Ngay'!$O:$O,0))),"")</f>
      </c>
      <c r="C79" s="79">
        <f t="array" ref="C79">IFERROR(IF(A79="","",INDEX('05_Theo_Doi_Gio_Cong_7_Ngay'!$C:$C,MATCH(78,'05_Theo_Doi_Gio_Cong_7_Ngay'!$O:$O,0))),"")</f>
      </c>
      <c r="D79" s="80">
        <f t="array" ref="D79">IFERROR(IF(A79="","",INDEX('05_Theo_Doi_Gio_Cong_7_Ngay'!$D:$D,MATCH(78,'05_Theo_Doi_Gio_Cong_7_Ngay'!$O:$O,0))),"")</f>
      </c>
      <c r="E79" s="80">
        <f t="array" ref="E79">IFERROR(IF(B79="","",INDEX('02_DS_Nhan_Viec'!$G:$G,MATCH(B79,'02_DS_Nhan_Viec'!$J:$J,0))),"")</f>
      </c>
      <c r="F79" s="79">
        <f t="array" ref="F79">IFERROR(IF(B79="","",INDEX('02_DS_Nhan_Viec'!$H:$H,MATCH(B79,'02_DS_Nhan_Viec'!$J:$J,0))),"")</f>
      </c>
      <c r="G79" s="79">
        <f t="array" ref="G79">IFERROR(IF(B79="","",INDEX('02_DS_Nhan_Viec'!$I:$I,MATCH(B79,'02_DS_Nhan_Viec'!$J:$J,0))),"")</f>
      </c>
      <c r="H79" s="79">
        <f t="array" ref="H79">IF(B79="","",IFERROR(IF(INDEX('03_Ho_So_Nhan_Vien'!$M:$M,MATCH(B79,'03_Ho_So_Nhan_Vien'!$C:$C,0))=0,"",INDEX('03_Ho_So_Nhan_Vien'!$M:$M,MATCH(B79,'03_Ho_So_Nhan_Vien'!$C:$C,0))),""))</f>
      </c>
      <c r="I79" s="78"/>
      <c r="J79" s="78"/>
      <c r="K79" s="78"/>
    </row>
    <row r="80" ht="14.25" customHeight="1" spans="1:11" x14ac:dyDescent="0.25">
      <c r="A80" s="79">
        <f>IFERROR(IF(ISNUMBER(MATCH(79,'05_Theo_Doi_Gio_Cong_7_Ngay'!$O:$O,0)),79,""),"")</f>
      </c>
      <c r="B80" s="87">
        <f t="array" ref="B80">IFERROR(IF(A80="","",INDEX('05_Theo_Doi_Gio_Cong_7_Ngay'!$B:$B,MATCH(79,'05_Theo_Doi_Gio_Cong_7_Ngay'!$O:$O,0))),"")</f>
      </c>
      <c r="C80" s="79">
        <f t="array" ref="C80">IFERROR(IF(A80="","",INDEX('05_Theo_Doi_Gio_Cong_7_Ngay'!$C:$C,MATCH(79,'05_Theo_Doi_Gio_Cong_7_Ngay'!$O:$O,0))),"")</f>
      </c>
      <c r="D80" s="80">
        <f t="array" ref="D80">IFERROR(IF(A80="","",INDEX('05_Theo_Doi_Gio_Cong_7_Ngay'!$D:$D,MATCH(79,'05_Theo_Doi_Gio_Cong_7_Ngay'!$O:$O,0))),"")</f>
      </c>
      <c r="E80" s="80">
        <f t="array" ref="E80">IFERROR(IF(B80="","",INDEX('02_DS_Nhan_Viec'!$G:$G,MATCH(B80,'02_DS_Nhan_Viec'!$J:$J,0))),"")</f>
      </c>
      <c r="F80" s="79">
        <f t="array" ref="F80">IFERROR(IF(B80="","",INDEX('02_DS_Nhan_Viec'!$H:$H,MATCH(B80,'02_DS_Nhan_Viec'!$J:$J,0))),"")</f>
      </c>
      <c r="G80" s="79">
        <f t="array" ref="G80">IFERROR(IF(B80="","",INDEX('02_DS_Nhan_Viec'!$I:$I,MATCH(B80,'02_DS_Nhan_Viec'!$J:$J,0))),"")</f>
      </c>
      <c r="H80" s="79">
        <f t="array" ref="H80">IF(B80="","",IFERROR(IF(INDEX('03_Ho_So_Nhan_Vien'!$M:$M,MATCH(B80,'03_Ho_So_Nhan_Vien'!$C:$C,0))=0,"",INDEX('03_Ho_So_Nhan_Vien'!$M:$M,MATCH(B80,'03_Ho_So_Nhan_Vien'!$C:$C,0))),""))</f>
      </c>
      <c r="I80" s="78"/>
      <c r="J80" s="78"/>
      <c r="K80" s="78"/>
    </row>
    <row r="81" ht="14.25" customHeight="1" spans="1:11" x14ac:dyDescent="0.25">
      <c r="A81" s="79">
        <f>IFERROR(IF(ISNUMBER(MATCH(80,'05_Theo_Doi_Gio_Cong_7_Ngay'!$O:$O,0)),80,""),"")</f>
      </c>
      <c r="B81" s="87">
        <f t="array" ref="B81">IFERROR(IF(A81="","",INDEX('05_Theo_Doi_Gio_Cong_7_Ngay'!$B:$B,MATCH(80,'05_Theo_Doi_Gio_Cong_7_Ngay'!$O:$O,0))),"")</f>
      </c>
      <c r="C81" s="79">
        <f t="array" ref="C81">IFERROR(IF(A81="","",INDEX('05_Theo_Doi_Gio_Cong_7_Ngay'!$C:$C,MATCH(80,'05_Theo_Doi_Gio_Cong_7_Ngay'!$O:$O,0))),"")</f>
      </c>
      <c r="D81" s="80">
        <f t="array" ref="D81">IFERROR(IF(A81="","",INDEX('05_Theo_Doi_Gio_Cong_7_Ngay'!$D:$D,MATCH(80,'05_Theo_Doi_Gio_Cong_7_Ngay'!$O:$O,0))),"")</f>
      </c>
      <c r="E81" s="80">
        <f t="array" ref="E81">IFERROR(IF(B81="","",INDEX('02_DS_Nhan_Viec'!$G:$G,MATCH(B81,'02_DS_Nhan_Viec'!$J:$J,0))),"")</f>
      </c>
      <c r="F81" s="79">
        <f t="array" ref="F81">IFERROR(IF(B81="","",INDEX('02_DS_Nhan_Viec'!$H:$H,MATCH(B81,'02_DS_Nhan_Viec'!$J:$J,0))),"")</f>
      </c>
      <c r="G81" s="79">
        <f t="array" ref="G81">IFERROR(IF(B81="","",INDEX('02_DS_Nhan_Viec'!$I:$I,MATCH(B81,'02_DS_Nhan_Viec'!$J:$J,0))),"")</f>
      </c>
      <c r="H81" s="79">
        <f t="array" ref="H81">IF(B81="","",IFERROR(IF(INDEX('03_Ho_So_Nhan_Vien'!$M:$M,MATCH(B81,'03_Ho_So_Nhan_Vien'!$C:$C,0))=0,"",INDEX('03_Ho_So_Nhan_Vien'!$M:$M,MATCH(B81,'03_Ho_So_Nhan_Vien'!$C:$C,0))),""))</f>
      </c>
      <c r="I81" s="78"/>
      <c r="J81" s="78"/>
      <c r="K81" s="78"/>
    </row>
    <row r="82" ht="14.25" customHeight="1" spans="1:11" x14ac:dyDescent="0.25">
      <c r="A82" s="79">
        <f>IFERROR(IF(ISNUMBER(MATCH(81,'05_Theo_Doi_Gio_Cong_7_Ngay'!$O:$O,0)),81,""),"")</f>
      </c>
      <c r="B82" s="87">
        <f t="array" ref="B82">IFERROR(IF(A82="","",INDEX('05_Theo_Doi_Gio_Cong_7_Ngay'!$B:$B,MATCH(81,'05_Theo_Doi_Gio_Cong_7_Ngay'!$O:$O,0))),"")</f>
      </c>
      <c r="C82" s="79">
        <f t="array" ref="C82">IFERROR(IF(A82="","",INDEX('05_Theo_Doi_Gio_Cong_7_Ngay'!$C:$C,MATCH(81,'05_Theo_Doi_Gio_Cong_7_Ngay'!$O:$O,0))),"")</f>
      </c>
      <c r="D82" s="80">
        <f t="array" ref="D82">IFERROR(IF(A82="","",INDEX('05_Theo_Doi_Gio_Cong_7_Ngay'!$D:$D,MATCH(81,'05_Theo_Doi_Gio_Cong_7_Ngay'!$O:$O,0))),"")</f>
      </c>
      <c r="E82" s="80">
        <f t="array" ref="E82">IFERROR(IF(B82="","",INDEX('02_DS_Nhan_Viec'!$G:$G,MATCH(B82,'02_DS_Nhan_Viec'!$J:$J,0))),"")</f>
      </c>
      <c r="F82" s="79">
        <f t="array" ref="F82">IFERROR(IF(B82="","",INDEX('02_DS_Nhan_Viec'!$H:$H,MATCH(B82,'02_DS_Nhan_Viec'!$J:$J,0))),"")</f>
      </c>
      <c r="G82" s="79">
        <f t="array" ref="G82">IFERROR(IF(B82="","",INDEX('02_DS_Nhan_Viec'!$I:$I,MATCH(B82,'02_DS_Nhan_Viec'!$J:$J,0))),"")</f>
      </c>
      <c r="H82" s="79">
        <f t="array" ref="H82">IF(B82="","",IFERROR(IF(INDEX('03_Ho_So_Nhan_Vien'!$M:$M,MATCH(B82,'03_Ho_So_Nhan_Vien'!$C:$C,0))=0,"",INDEX('03_Ho_So_Nhan_Vien'!$M:$M,MATCH(B82,'03_Ho_So_Nhan_Vien'!$C:$C,0))),""))</f>
      </c>
      <c r="I82" s="78"/>
      <c r="J82" s="78"/>
      <c r="K82" s="78"/>
    </row>
    <row r="83" ht="14.25" customHeight="1" spans="1:11" x14ac:dyDescent="0.25">
      <c r="A83" s="79">
        <f>IFERROR(IF(ISNUMBER(MATCH(82,'05_Theo_Doi_Gio_Cong_7_Ngay'!$O:$O,0)),82,""),"")</f>
      </c>
      <c r="B83" s="87">
        <f t="array" ref="B83">IFERROR(IF(A83="","",INDEX('05_Theo_Doi_Gio_Cong_7_Ngay'!$B:$B,MATCH(82,'05_Theo_Doi_Gio_Cong_7_Ngay'!$O:$O,0))),"")</f>
      </c>
      <c r="C83" s="79">
        <f t="array" ref="C83">IFERROR(IF(A83="","",INDEX('05_Theo_Doi_Gio_Cong_7_Ngay'!$C:$C,MATCH(82,'05_Theo_Doi_Gio_Cong_7_Ngay'!$O:$O,0))),"")</f>
      </c>
      <c r="D83" s="80">
        <f t="array" ref="D83">IFERROR(IF(A83="","",INDEX('05_Theo_Doi_Gio_Cong_7_Ngay'!$D:$D,MATCH(82,'05_Theo_Doi_Gio_Cong_7_Ngay'!$O:$O,0))),"")</f>
      </c>
      <c r="E83" s="80">
        <f t="array" ref="E83">IFERROR(IF(B83="","",INDEX('02_DS_Nhan_Viec'!$G:$G,MATCH(B83,'02_DS_Nhan_Viec'!$J:$J,0))),"")</f>
      </c>
      <c r="F83" s="79">
        <f t="array" ref="F83">IFERROR(IF(B83="","",INDEX('02_DS_Nhan_Viec'!$H:$H,MATCH(B83,'02_DS_Nhan_Viec'!$J:$J,0))),"")</f>
      </c>
      <c r="G83" s="79">
        <f t="array" ref="G83">IFERROR(IF(B83="","",INDEX('02_DS_Nhan_Viec'!$I:$I,MATCH(B83,'02_DS_Nhan_Viec'!$J:$J,0))),"")</f>
      </c>
      <c r="H83" s="79">
        <f t="array" ref="H83">IF(B83="","",IFERROR(IF(INDEX('03_Ho_So_Nhan_Vien'!$M:$M,MATCH(B83,'03_Ho_So_Nhan_Vien'!$C:$C,0))=0,"",INDEX('03_Ho_So_Nhan_Vien'!$M:$M,MATCH(B83,'03_Ho_So_Nhan_Vien'!$C:$C,0))),""))</f>
      </c>
      <c r="I83" s="78"/>
      <c r="J83" s="78"/>
      <c r="K83" s="78"/>
    </row>
    <row r="84" ht="14.25" customHeight="1" spans="1:11" x14ac:dyDescent="0.25">
      <c r="A84" s="79">
        <f>IFERROR(IF(ISNUMBER(MATCH(83,'05_Theo_Doi_Gio_Cong_7_Ngay'!$O:$O,0)),83,""),"")</f>
      </c>
      <c r="B84" s="87">
        <f t="array" ref="B84">IFERROR(IF(A84="","",INDEX('05_Theo_Doi_Gio_Cong_7_Ngay'!$B:$B,MATCH(83,'05_Theo_Doi_Gio_Cong_7_Ngay'!$O:$O,0))),"")</f>
      </c>
      <c r="C84" s="79">
        <f t="array" ref="C84">IFERROR(IF(A84="","",INDEX('05_Theo_Doi_Gio_Cong_7_Ngay'!$C:$C,MATCH(83,'05_Theo_Doi_Gio_Cong_7_Ngay'!$O:$O,0))),"")</f>
      </c>
      <c r="D84" s="80">
        <f t="array" ref="D84">IFERROR(IF(A84="","",INDEX('05_Theo_Doi_Gio_Cong_7_Ngay'!$D:$D,MATCH(83,'05_Theo_Doi_Gio_Cong_7_Ngay'!$O:$O,0))),"")</f>
      </c>
      <c r="E84" s="80">
        <f t="array" ref="E84">IFERROR(IF(B84="","",INDEX('02_DS_Nhan_Viec'!$G:$G,MATCH(B84,'02_DS_Nhan_Viec'!$J:$J,0))),"")</f>
      </c>
      <c r="F84" s="79">
        <f t="array" ref="F84">IFERROR(IF(B84="","",INDEX('02_DS_Nhan_Viec'!$H:$H,MATCH(B84,'02_DS_Nhan_Viec'!$J:$J,0))),"")</f>
      </c>
      <c r="G84" s="79">
        <f t="array" ref="G84">IFERROR(IF(B84="","",INDEX('02_DS_Nhan_Viec'!$I:$I,MATCH(B84,'02_DS_Nhan_Viec'!$J:$J,0))),"")</f>
      </c>
      <c r="H84" s="79">
        <f t="array" ref="H84">IF(B84="","",IFERROR(IF(INDEX('03_Ho_So_Nhan_Vien'!$M:$M,MATCH(B84,'03_Ho_So_Nhan_Vien'!$C:$C,0))=0,"",INDEX('03_Ho_So_Nhan_Vien'!$M:$M,MATCH(B84,'03_Ho_So_Nhan_Vien'!$C:$C,0))),""))</f>
      </c>
      <c r="I84" s="78"/>
      <c r="J84" s="78"/>
      <c r="K84" s="78"/>
    </row>
    <row r="85" ht="14.25" customHeight="1" spans="1:11" x14ac:dyDescent="0.25">
      <c r="A85" s="79">
        <f>IFERROR(IF(ISNUMBER(MATCH(84,'05_Theo_Doi_Gio_Cong_7_Ngay'!$O:$O,0)),84,""),"")</f>
      </c>
      <c r="B85" s="87">
        <f t="array" ref="B85">IFERROR(IF(A85="","",INDEX('05_Theo_Doi_Gio_Cong_7_Ngay'!$B:$B,MATCH(84,'05_Theo_Doi_Gio_Cong_7_Ngay'!$O:$O,0))),"")</f>
      </c>
      <c r="C85" s="79">
        <f t="array" ref="C85">IFERROR(IF(A85="","",INDEX('05_Theo_Doi_Gio_Cong_7_Ngay'!$C:$C,MATCH(84,'05_Theo_Doi_Gio_Cong_7_Ngay'!$O:$O,0))),"")</f>
      </c>
      <c r="D85" s="80">
        <f t="array" ref="D85">IFERROR(IF(A85="","",INDEX('05_Theo_Doi_Gio_Cong_7_Ngay'!$D:$D,MATCH(84,'05_Theo_Doi_Gio_Cong_7_Ngay'!$O:$O,0))),"")</f>
      </c>
      <c r="E85" s="80">
        <f t="array" ref="E85">IFERROR(IF(B85="","",INDEX('02_DS_Nhan_Viec'!$G:$G,MATCH(B85,'02_DS_Nhan_Viec'!$J:$J,0))),"")</f>
      </c>
      <c r="F85" s="79">
        <f t="array" ref="F85">IFERROR(IF(B85="","",INDEX('02_DS_Nhan_Viec'!$H:$H,MATCH(B85,'02_DS_Nhan_Viec'!$J:$J,0))),"")</f>
      </c>
      <c r="G85" s="79">
        <f t="array" ref="G85">IFERROR(IF(B85="","",INDEX('02_DS_Nhan_Viec'!$I:$I,MATCH(B85,'02_DS_Nhan_Viec'!$J:$J,0))),"")</f>
      </c>
      <c r="H85" s="79">
        <f t="array" ref="H85">IF(B85="","",IFERROR(IF(INDEX('03_Ho_So_Nhan_Vien'!$M:$M,MATCH(B85,'03_Ho_So_Nhan_Vien'!$C:$C,0))=0,"",INDEX('03_Ho_So_Nhan_Vien'!$M:$M,MATCH(B85,'03_Ho_So_Nhan_Vien'!$C:$C,0))),""))</f>
      </c>
      <c r="I85" s="78"/>
      <c r="J85" s="78"/>
      <c r="K85" s="78"/>
    </row>
    <row r="86" ht="14.25" customHeight="1" spans="1:11" x14ac:dyDescent="0.25">
      <c r="A86" s="79">
        <f>IFERROR(IF(ISNUMBER(MATCH(85,'05_Theo_Doi_Gio_Cong_7_Ngay'!$O:$O,0)),85,""),"")</f>
      </c>
      <c r="B86" s="87">
        <f t="array" ref="B86">IFERROR(IF(A86="","",INDEX('05_Theo_Doi_Gio_Cong_7_Ngay'!$B:$B,MATCH(85,'05_Theo_Doi_Gio_Cong_7_Ngay'!$O:$O,0))),"")</f>
      </c>
      <c r="C86" s="79">
        <f t="array" ref="C86">IFERROR(IF(A86="","",INDEX('05_Theo_Doi_Gio_Cong_7_Ngay'!$C:$C,MATCH(85,'05_Theo_Doi_Gio_Cong_7_Ngay'!$O:$O,0))),"")</f>
      </c>
      <c r="D86" s="80">
        <f t="array" ref="D86">IFERROR(IF(A86="","",INDEX('05_Theo_Doi_Gio_Cong_7_Ngay'!$D:$D,MATCH(85,'05_Theo_Doi_Gio_Cong_7_Ngay'!$O:$O,0))),"")</f>
      </c>
      <c r="E86" s="80">
        <f t="array" ref="E86">IFERROR(IF(B86="","",INDEX('02_DS_Nhan_Viec'!$G:$G,MATCH(B86,'02_DS_Nhan_Viec'!$J:$J,0))),"")</f>
      </c>
      <c r="F86" s="79">
        <f t="array" ref="F86">IFERROR(IF(B86="","",INDEX('02_DS_Nhan_Viec'!$H:$H,MATCH(B86,'02_DS_Nhan_Viec'!$J:$J,0))),"")</f>
      </c>
      <c r="G86" s="79">
        <f t="array" ref="G86">IFERROR(IF(B86="","",INDEX('02_DS_Nhan_Viec'!$I:$I,MATCH(B86,'02_DS_Nhan_Viec'!$J:$J,0))),"")</f>
      </c>
      <c r="H86" s="79">
        <f t="array" ref="H86">IF(B86="","",IFERROR(IF(INDEX('03_Ho_So_Nhan_Vien'!$M:$M,MATCH(B86,'03_Ho_So_Nhan_Vien'!$C:$C,0))=0,"",INDEX('03_Ho_So_Nhan_Vien'!$M:$M,MATCH(B86,'03_Ho_So_Nhan_Vien'!$C:$C,0))),""))</f>
      </c>
      <c r="I86" s="78"/>
      <c r="J86" s="78"/>
      <c r="K86" s="78"/>
    </row>
    <row r="87" ht="14.25" customHeight="1" spans="1:11" x14ac:dyDescent="0.25">
      <c r="A87" s="79">
        <f>IFERROR(IF(ISNUMBER(MATCH(86,'05_Theo_Doi_Gio_Cong_7_Ngay'!$O:$O,0)),86,""),"")</f>
      </c>
      <c r="B87" s="87">
        <f t="array" ref="B87">IFERROR(IF(A87="","",INDEX('05_Theo_Doi_Gio_Cong_7_Ngay'!$B:$B,MATCH(86,'05_Theo_Doi_Gio_Cong_7_Ngay'!$O:$O,0))),"")</f>
      </c>
      <c r="C87" s="79">
        <f t="array" ref="C87">IFERROR(IF(A87="","",INDEX('05_Theo_Doi_Gio_Cong_7_Ngay'!$C:$C,MATCH(86,'05_Theo_Doi_Gio_Cong_7_Ngay'!$O:$O,0))),"")</f>
      </c>
      <c r="D87" s="80">
        <f t="array" ref="D87">IFERROR(IF(A87="","",INDEX('05_Theo_Doi_Gio_Cong_7_Ngay'!$D:$D,MATCH(86,'05_Theo_Doi_Gio_Cong_7_Ngay'!$O:$O,0))),"")</f>
      </c>
      <c r="E87" s="80">
        <f t="array" ref="E87">IFERROR(IF(B87="","",INDEX('02_DS_Nhan_Viec'!$G:$G,MATCH(B87,'02_DS_Nhan_Viec'!$J:$J,0))),"")</f>
      </c>
      <c r="F87" s="79">
        <f t="array" ref="F87">IFERROR(IF(B87="","",INDEX('02_DS_Nhan_Viec'!$H:$H,MATCH(B87,'02_DS_Nhan_Viec'!$J:$J,0))),"")</f>
      </c>
      <c r="G87" s="79">
        <f t="array" ref="G87">IFERROR(IF(B87="","",INDEX('02_DS_Nhan_Viec'!$I:$I,MATCH(B87,'02_DS_Nhan_Viec'!$J:$J,0))),"")</f>
      </c>
      <c r="H87" s="79">
        <f t="array" ref="H87">IF(B87="","",IFERROR(IF(INDEX('03_Ho_So_Nhan_Vien'!$M:$M,MATCH(B87,'03_Ho_So_Nhan_Vien'!$C:$C,0))=0,"",INDEX('03_Ho_So_Nhan_Vien'!$M:$M,MATCH(B87,'03_Ho_So_Nhan_Vien'!$C:$C,0))),""))</f>
      </c>
      <c r="I87" s="78"/>
      <c r="J87" s="78"/>
      <c r="K87" s="78"/>
    </row>
    <row r="88" ht="14.25" customHeight="1" spans="1:11" x14ac:dyDescent="0.25">
      <c r="A88" s="79">
        <f>IFERROR(IF(ISNUMBER(MATCH(87,'05_Theo_Doi_Gio_Cong_7_Ngay'!$O:$O,0)),87,""),"")</f>
      </c>
      <c r="B88" s="87">
        <f t="array" ref="B88">IFERROR(IF(A88="","",INDEX('05_Theo_Doi_Gio_Cong_7_Ngay'!$B:$B,MATCH(87,'05_Theo_Doi_Gio_Cong_7_Ngay'!$O:$O,0))),"")</f>
      </c>
      <c r="C88" s="79">
        <f t="array" ref="C88">IFERROR(IF(A88="","",INDEX('05_Theo_Doi_Gio_Cong_7_Ngay'!$C:$C,MATCH(87,'05_Theo_Doi_Gio_Cong_7_Ngay'!$O:$O,0))),"")</f>
      </c>
      <c r="D88" s="80">
        <f t="array" ref="D88">IFERROR(IF(A88="","",INDEX('05_Theo_Doi_Gio_Cong_7_Ngay'!$D:$D,MATCH(87,'05_Theo_Doi_Gio_Cong_7_Ngay'!$O:$O,0))),"")</f>
      </c>
      <c r="E88" s="80">
        <f t="array" ref="E88">IFERROR(IF(B88="","",INDEX('02_DS_Nhan_Viec'!$G:$G,MATCH(B88,'02_DS_Nhan_Viec'!$J:$J,0))),"")</f>
      </c>
      <c r="F88" s="79">
        <f t="array" ref="F88">IFERROR(IF(B88="","",INDEX('02_DS_Nhan_Viec'!$H:$H,MATCH(B88,'02_DS_Nhan_Viec'!$J:$J,0))),"")</f>
      </c>
      <c r="G88" s="79">
        <f t="array" ref="G88">IFERROR(IF(B88="","",INDEX('02_DS_Nhan_Viec'!$I:$I,MATCH(B88,'02_DS_Nhan_Viec'!$J:$J,0))),"")</f>
      </c>
      <c r="H88" s="79">
        <f t="array" ref="H88">IF(B88="","",IFERROR(IF(INDEX('03_Ho_So_Nhan_Vien'!$M:$M,MATCH(B88,'03_Ho_So_Nhan_Vien'!$C:$C,0))=0,"",INDEX('03_Ho_So_Nhan_Vien'!$M:$M,MATCH(B88,'03_Ho_So_Nhan_Vien'!$C:$C,0))),""))</f>
      </c>
      <c r="I88" s="78"/>
      <c r="J88" s="78"/>
      <c r="K88" s="78"/>
    </row>
    <row r="89" ht="14.25" customHeight="1" spans="1:11" x14ac:dyDescent="0.25">
      <c r="A89" s="79">
        <f>IFERROR(IF(ISNUMBER(MATCH(88,'05_Theo_Doi_Gio_Cong_7_Ngay'!$O:$O,0)),88,""),"")</f>
      </c>
      <c r="B89" s="87">
        <f t="array" ref="B89">IFERROR(IF(A89="","",INDEX('05_Theo_Doi_Gio_Cong_7_Ngay'!$B:$B,MATCH(88,'05_Theo_Doi_Gio_Cong_7_Ngay'!$O:$O,0))),"")</f>
      </c>
      <c r="C89" s="79">
        <f t="array" ref="C89">IFERROR(IF(A89="","",INDEX('05_Theo_Doi_Gio_Cong_7_Ngay'!$C:$C,MATCH(88,'05_Theo_Doi_Gio_Cong_7_Ngay'!$O:$O,0))),"")</f>
      </c>
      <c r="D89" s="80">
        <f t="array" ref="D89">IFERROR(IF(A89="","",INDEX('05_Theo_Doi_Gio_Cong_7_Ngay'!$D:$D,MATCH(88,'05_Theo_Doi_Gio_Cong_7_Ngay'!$O:$O,0))),"")</f>
      </c>
      <c r="E89" s="80">
        <f t="array" ref="E89">IFERROR(IF(B89="","",INDEX('02_DS_Nhan_Viec'!$G:$G,MATCH(B89,'02_DS_Nhan_Viec'!$J:$J,0))),"")</f>
      </c>
      <c r="F89" s="79">
        <f t="array" ref="F89">IFERROR(IF(B89="","",INDEX('02_DS_Nhan_Viec'!$H:$H,MATCH(B89,'02_DS_Nhan_Viec'!$J:$J,0))),"")</f>
      </c>
      <c r="G89" s="79">
        <f t="array" ref="G89">IFERROR(IF(B89="","",INDEX('02_DS_Nhan_Viec'!$I:$I,MATCH(B89,'02_DS_Nhan_Viec'!$J:$J,0))),"")</f>
      </c>
      <c r="H89" s="79">
        <f t="array" ref="H89">IF(B89="","",IFERROR(IF(INDEX('03_Ho_So_Nhan_Vien'!$M:$M,MATCH(B89,'03_Ho_So_Nhan_Vien'!$C:$C,0))=0,"",INDEX('03_Ho_So_Nhan_Vien'!$M:$M,MATCH(B89,'03_Ho_So_Nhan_Vien'!$C:$C,0))),""))</f>
      </c>
      <c r="I89" s="78"/>
      <c r="J89" s="78"/>
      <c r="K89" s="78"/>
    </row>
    <row r="90" ht="14.25" customHeight="1" spans="1:11" x14ac:dyDescent="0.25">
      <c r="A90" s="79">
        <f>IFERROR(IF(ISNUMBER(MATCH(89,'05_Theo_Doi_Gio_Cong_7_Ngay'!$O:$O,0)),89,""),"")</f>
      </c>
      <c r="B90" s="87">
        <f t="array" ref="B90">IFERROR(IF(A90="","",INDEX('05_Theo_Doi_Gio_Cong_7_Ngay'!$B:$B,MATCH(89,'05_Theo_Doi_Gio_Cong_7_Ngay'!$O:$O,0))),"")</f>
      </c>
      <c r="C90" s="79">
        <f t="array" ref="C90">IFERROR(IF(A90="","",INDEX('05_Theo_Doi_Gio_Cong_7_Ngay'!$C:$C,MATCH(89,'05_Theo_Doi_Gio_Cong_7_Ngay'!$O:$O,0))),"")</f>
      </c>
      <c r="D90" s="80">
        <f t="array" ref="D90">IFERROR(IF(A90="","",INDEX('05_Theo_Doi_Gio_Cong_7_Ngay'!$D:$D,MATCH(89,'05_Theo_Doi_Gio_Cong_7_Ngay'!$O:$O,0))),"")</f>
      </c>
      <c r="E90" s="80">
        <f t="array" ref="E90">IFERROR(IF(B90="","",INDEX('02_DS_Nhan_Viec'!$G:$G,MATCH(B90,'02_DS_Nhan_Viec'!$J:$J,0))),"")</f>
      </c>
      <c r="F90" s="79">
        <f t="array" ref="F90">IFERROR(IF(B90="","",INDEX('02_DS_Nhan_Viec'!$H:$H,MATCH(B90,'02_DS_Nhan_Viec'!$J:$J,0))),"")</f>
      </c>
      <c r="G90" s="79">
        <f t="array" ref="G90">IFERROR(IF(B90="","",INDEX('02_DS_Nhan_Viec'!$I:$I,MATCH(B90,'02_DS_Nhan_Viec'!$J:$J,0))),"")</f>
      </c>
      <c r="H90" s="79">
        <f t="array" ref="H90">IF(B90="","",IFERROR(IF(INDEX('03_Ho_So_Nhan_Vien'!$M:$M,MATCH(B90,'03_Ho_So_Nhan_Vien'!$C:$C,0))=0,"",INDEX('03_Ho_So_Nhan_Vien'!$M:$M,MATCH(B90,'03_Ho_So_Nhan_Vien'!$C:$C,0))),""))</f>
      </c>
      <c r="I90" s="78"/>
      <c r="J90" s="78"/>
      <c r="K90" s="78"/>
    </row>
    <row r="91" ht="14.25" customHeight="1" spans="1:11" x14ac:dyDescent="0.25">
      <c r="A91" s="79">
        <f>IFERROR(IF(ISNUMBER(MATCH(90,'05_Theo_Doi_Gio_Cong_7_Ngay'!$O:$O,0)),90,""),"")</f>
      </c>
      <c r="B91" s="87">
        <f t="array" ref="B91">IFERROR(IF(A91="","",INDEX('05_Theo_Doi_Gio_Cong_7_Ngay'!$B:$B,MATCH(90,'05_Theo_Doi_Gio_Cong_7_Ngay'!$O:$O,0))),"")</f>
      </c>
      <c r="C91" s="79">
        <f t="array" ref="C91">IFERROR(IF(A91="","",INDEX('05_Theo_Doi_Gio_Cong_7_Ngay'!$C:$C,MATCH(90,'05_Theo_Doi_Gio_Cong_7_Ngay'!$O:$O,0))),"")</f>
      </c>
      <c r="D91" s="80">
        <f t="array" ref="D91">IFERROR(IF(A91="","",INDEX('05_Theo_Doi_Gio_Cong_7_Ngay'!$D:$D,MATCH(90,'05_Theo_Doi_Gio_Cong_7_Ngay'!$O:$O,0))),"")</f>
      </c>
      <c r="E91" s="80">
        <f t="array" ref="E91">IFERROR(IF(B91="","",INDEX('02_DS_Nhan_Viec'!$G:$G,MATCH(B91,'02_DS_Nhan_Viec'!$J:$J,0))),"")</f>
      </c>
      <c r="F91" s="79">
        <f t="array" ref="F91">IFERROR(IF(B91="","",INDEX('02_DS_Nhan_Viec'!$H:$H,MATCH(B91,'02_DS_Nhan_Viec'!$J:$J,0))),"")</f>
      </c>
      <c r="G91" s="79">
        <f t="array" ref="G91">IFERROR(IF(B91="","",INDEX('02_DS_Nhan_Viec'!$I:$I,MATCH(B91,'02_DS_Nhan_Viec'!$J:$J,0))),"")</f>
      </c>
      <c r="H91" s="79">
        <f t="array" ref="H91">IF(B91="","",IFERROR(IF(INDEX('03_Ho_So_Nhan_Vien'!$M:$M,MATCH(B91,'03_Ho_So_Nhan_Vien'!$C:$C,0))=0,"",INDEX('03_Ho_So_Nhan_Vien'!$M:$M,MATCH(B91,'03_Ho_So_Nhan_Vien'!$C:$C,0))),""))</f>
      </c>
      <c r="I91" s="78"/>
      <c r="J91" s="78"/>
      <c r="K91" s="78"/>
    </row>
    <row r="92" ht="14.25" customHeight="1" spans="1:11" x14ac:dyDescent="0.25">
      <c r="A92" s="79">
        <f>IFERROR(IF(ISNUMBER(MATCH(91,'05_Theo_Doi_Gio_Cong_7_Ngay'!$O:$O,0)),91,""),"")</f>
      </c>
      <c r="B92" s="87">
        <f t="array" ref="B92">IFERROR(IF(A92="","",INDEX('05_Theo_Doi_Gio_Cong_7_Ngay'!$B:$B,MATCH(91,'05_Theo_Doi_Gio_Cong_7_Ngay'!$O:$O,0))),"")</f>
      </c>
      <c r="C92" s="79">
        <f t="array" ref="C92">IFERROR(IF(A92="","",INDEX('05_Theo_Doi_Gio_Cong_7_Ngay'!$C:$C,MATCH(91,'05_Theo_Doi_Gio_Cong_7_Ngay'!$O:$O,0))),"")</f>
      </c>
      <c r="D92" s="80">
        <f t="array" ref="D92">IFERROR(IF(A92="","",INDEX('05_Theo_Doi_Gio_Cong_7_Ngay'!$D:$D,MATCH(91,'05_Theo_Doi_Gio_Cong_7_Ngay'!$O:$O,0))),"")</f>
      </c>
      <c r="E92" s="80">
        <f t="array" ref="E92">IFERROR(IF(B92="","",INDEX('02_DS_Nhan_Viec'!$G:$G,MATCH(B92,'02_DS_Nhan_Viec'!$J:$J,0))),"")</f>
      </c>
      <c r="F92" s="79">
        <f t="array" ref="F92">IFERROR(IF(B92="","",INDEX('02_DS_Nhan_Viec'!$H:$H,MATCH(B92,'02_DS_Nhan_Viec'!$J:$J,0))),"")</f>
      </c>
      <c r="G92" s="79">
        <f t="array" ref="G92">IFERROR(IF(B92="","",INDEX('02_DS_Nhan_Viec'!$I:$I,MATCH(B92,'02_DS_Nhan_Viec'!$J:$J,0))),"")</f>
      </c>
      <c r="H92" s="79">
        <f t="array" ref="H92">IF(B92="","",IFERROR(IF(INDEX('03_Ho_So_Nhan_Vien'!$M:$M,MATCH(B92,'03_Ho_So_Nhan_Vien'!$C:$C,0))=0,"",INDEX('03_Ho_So_Nhan_Vien'!$M:$M,MATCH(B92,'03_Ho_So_Nhan_Vien'!$C:$C,0))),""))</f>
      </c>
      <c r="I92" s="78"/>
      <c r="J92" s="78"/>
      <c r="K92" s="78"/>
    </row>
    <row r="93" ht="14.25" customHeight="1" spans="1:11" x14ac:dyDescent="0.25">
      <c r="A93" s="79">
        <f>IFERROR(IF(ISNUMBER(MATCH(92,'05_Theo_Doi_Gio_Cong_7_Ngay'!$O:$O,0)),92,""),"")</f>
      </c>
      <c r="B93" s="87">
        <f t="array" ref="B93">IFERROR(IF(A93="","",INDEX('05_Theo_Doi_Gio_Cong_7_Ngay'!$B:$B,MATCH(92,'05_Theo_Doi_Gio_Cong_7_Ngay'!$O:$O,0))),"")</f>
      </c>
      <c r="C93" s="79">
        <f t="array" ref="C93">IFERROR(IF(A93="","",INDEX('05_Theo_Doi_Gio_Cong_7_Ngay'!$C:$C,MATCH(92,'05_Theo_Doi_Gio_Cong_7_Ngay'!$O:$O,0))),"")</f>
      </c>
      <c r="D93" s="80">
        <f t="array" ref="D93">IFERROR(IF(A93="","",INDEX('05_Theo_Doi_Gio_Cong_7_Ngay'!$D:$D,MATCH(92,'05_Theo_Doi_Gio_Cong_7_Ngay'!$O:$O,0))),"")</f>
      </c>
      <c r="E93" s="80">
        <f t="array" ref="E93">IFERROR(IF(B93="","",INDEX('02_DS_Nhan_Viec'!$G:$G,MATCH(B93,'02_DS_Nhan_Viec'!$J:$J,0))),"")</f>
      </c>
      <c r="F93" s="79">
        <f t="array" ref="F93">IFERROR(IF(B93="","",INDEX('02_DS_Nhan_Viec'!$H:$H,MATCH(B93,'02_DS_Nhan_Viec'!$J:$J,0))),"")</f>
      </c>
      <c r="G93" s="79">
        <f t="array" ref="G93">IFERROR(IF(B93="","",INDEX('02_DS_Nhan_Viec'!$I:$I,MATCH(B93,'02_DS_Nhan_Viec'!$J:$J,0))),"")</f>
      </c>
      <c r="H93" s="79">
        <f t="array" ref="H93">IF(B93="","",IFERROR(IF(INDEX('03_Ho_So_Nhan_Vien'!$M:$M,MATCH(B93,'03_Ho_So_Nhan_Vien'!$C:$C,0))=0,"",INDEX('03_Ho_So_Nhan_Vien'!$M:$M,MATCH(B93,'03_Ho_So_Nhan_Vien'!$C:$C,0))),""))</f>
      </c>
      <c r="I93" s="78"/>
      <c r="J93" s="78"/>
      <c r="K93" s="78"/>
    </row>
    <row r="94" ht="14.25" customHeight="1" spans="1:11" x14ac:dyDescent="0.25">
      <c r="A94" s="79">
        <f>IFERROR(IF(ISNUMBER(MATCH(93,'05_Theo_Doi_Gio_Cong_7_Ngay'!$O:$O,0)),93,""),"")</f>
      </c>
      <c r="B94" s="87">
        <f t="array" ref="B94">IFERROR(IF(A94="","",INDEX('05_Theo_Doi_Gio_Cong_7_Ngay'!$B:$B,MATCH(93,'05_Theo_Doi_Gio_Cong_7_Ngay'!$O:$O,0))),"")</f>
      </c>
      <c r="C94" s="79">
        <f t="array" ref="C94">IFERROR(IF(A94="","",INDEX('05_Theo_Doi_Gio_Cong_7_Ngay'!$C:$C,MATCH(93,'05_Theo_Doi_Gio_Cong_7_Ngay'!$O:$O,0))),"")</f>
      </c>
      <c r="D94" s="80">
        <f t="array" ref="D94">IFERROR(IF(A94="","",INDEX('05_Theo_Doi_Gio_Cong_7_Ngay'!$D:$D,MATCH(93,'05_Theo_Doi_Gio_Cong_7_Ngay'!$O:$O,0))),"")</f>
      </c>
      <c r="E94" s="80">
        <f t="array" ref="E94">IFERROR(IF(B94="","",INDEX('02_DS_Nhan_Viec'!$G:$G,MATCH(B94,'02_DS_Nhan_Viec'!$J:$J,0))),"")</f>
      </c>
      <c r="F94" s="79">
        <f t="array" ref="F94">IFERROR(IF(B94="","",INDEX('02_DS_Nhan_Viec'!$H:$H,MATCH(B94,'02_DS_Nhan_Viec'!$J:$J,0))),"")</f>
      </c>
      <c r="G94" s="79">
        <f t="array" ref="G94">IFERROR(IF(B94="","",INDEX('02_DS_Nhan_Viec'!$I:$I,MATCH(B94,'02_DS_Nhan_Viec'!$J:$J,0))),"")</f>
      </c>
      <c r="H94" s="79">
        <f t="array" ref="H94">IF(B94="","",IFERROR(IF(INDEX('03_Ho_So_Nhan_Vien'!$M:$M,MATCH(B94,'03_Ho_So_Nhan_Vien'!$C:$C,0))=0,"",INDEX('03_Ho_So_Nhan_Vien'!$M:$M,MATCH(B94,'03_Ho_So_Nhan_Vien'!$C:$C,0))),""))</f>
      </c>
      <c r="I94" s="78"/>
      <c r="J94" s="78"/>
      <c r="K94" s="78"/>
    </row>
    <row r="95" ht="14.25" customHeight="1" spans="1:11" x14ac:dyDescent="0.25">
      <c r="A95" s="79">
        <f>IFERROR(IF(ISNUMBER(MATCH(94,'05_Theo_Doi_Gio_Cong_7_Ngay'!$O:$O,0)),94,""),"")</f>
      </c>
      <c r="B95" s="87">
        <f t="array" ref="B95">IFERROR(IF(A95="","",INDEX('05_Theo_Doi_Gio_Cong_7_Ngay'!$B:$B,MATCH(94,'05_Theo_Doi_Gio_Cong_7_Ngay'!$O:$O,0))),"")</f>
      </c>
      <c r="C95" s="79">
        <f t="array" ref="C95">IFERROR(IF(A95="","",INDEX('05_Theo_Doi_Gio_Cong_7_Ngay'!$C:$C,MATCH(94,'05_Theo_Doi_Gio_Cong_7_Ngay'!$O:$O,0))),"")</f>
      </c>
      <c r="D95" s="80">
        <f t="array" ref="D95">IFERROR(IF(A95="","",INDEX('05_Theo_Doi_Gio_Cong_7_Ngay'!$D:$D,MATCH(94,'05_Theo_Doi_Gio_Cong_7_Ngay'!$O:$O,0))),"")</f>
      </c>
      <c r="E95" s="80">
        <f t="array" ref="E95">IFERROR(IF(B95="","",INDEX('02_DS_Nhan_Viec'!$G:$G,MATCH(B95,'02_DS_Nhan_Viec'!$J:$J,0))),"")</f>
      </c>
      <c r="F95" s="79">
        <f t="array" ref="F95">IFERROR(IF(B95="","",INDEX('02_DS_Nhan_Viec'!$H:$H,MATCH(B95,'02_DS_Nhan_Viec'!$J:$J,0))),"")</f>
      </c>
      <c r="G95" s="79">
        <f t="array" ref="G95">IFERROR(IF(B95="","",INDEX('02_DS_Nhan_Viec'!$I:$I,MATCH(B95,'02_DS_Nhan_Viec'!$J:$J,0))),"")</f>
      </c>
      <c r="H95" s="79">
        <f t="array" ref="H95">IF(B95="","",IFERROR(IF(INDEX('03_Ho_So_Nhan_Vien'!$M:$M,MATCH(B95,'03_Ho_So_Nhan_Vien'!$C:$C,0))=0,"",INDEX('03_Ho_So_Nhan_Vien'!$M:$M,MATCH(B95,'03_Ho_So_Nhan_Vien'!$C:$C,0))),""))</f>
      </c>
      <c r="I95" s="78"/>
      <c r="J95" s="78"/>
      <c r="K95" s="78"/>
    </row>
    <row r="96" ht="14.25" customHeight="1" spans="1:11" x14ac:dyDescent="0.25">
      <c r="A96" s="79">
        <f>IFERROR(IF(ISNUMBER(MATCH(95,'05_Theo_Doi_Gio_Cong_7_Ngay'!$O:$O,0)),95,""),"")</f>
      </c>
      <c r="B96" s="87">
        <f t="array" ref="B96">IFERROR(IF(A96="","",INDEX('05_Theo_Doi_Gio_Cong_7_Ngay'!$B:$B,MATCH(95,'05_Theo_Doi_Gio_Cong_7_Ngay'!$O:$O,0))),"")</f>
      </c>
      <c r="C96" s="79">
        <f t="array" ref="C96">IFERROR(IF(A96="","",INDEX('05_Theo_Doi_Gio_Cong_7_Ngay'!$C:$C,MATCH(95,'05_Theo_Doi_Gio_Cong_7_Ngay'!$O:$O,0))),"")</f>
      </c>
      <c r="D96" s="80">
        <f t="array" ref="D96">IFERROR(IF(A96="","",INDEX('05_Theo_Doi_Gio_Cong_7_Ngay'!$D:$D,MATCH(95,'05_Theo_Doi_Gio_Cong_7_Ngay'!$O:$O,0))),"")</f>
      </c>
      <c r="E96" s="80">
        <f t="array" ref="E96">IFERROR(IF(B96="","",INDEX('02_DS_Nhan_Viec'!$G:$G,MATCH(B96,'02_DS_Nhan_Viec'!$J:$J,0))),"")</f>
      </c>
      <c r="F96" s="79">
        <f t="array" ref="F96">IFERROR(IF(B96="","",INDEX('02_DS_Nhan_Viec'!$H:$H,MATCH(B96,'02_DS_Nhan_Viec'!$J:$J,0))),"")</f>
      </c>
      <c r="G96" s="79">
        <f t="array" ref="G96">IFERROR(IF(B96="","",INDEX('02_DS_Nhan_Viec'!$I:$I,MATCH(B96,'02_DS_Nhan_Viec'!$J:$J,0))),"")</f>
      </c>
      <c r="H96" s="79">
        <f t="array" ref="H96">IF(B96="","",IFERROR(IF(INDEX('03_Ho_So_Nhan_Vien'!$M:$M,MATCH(B96,'03_Ho_So_Nhan_Vien'!$C:$C,0))=0,"",INDEX('03_Ho_So_Nhan_Vien'!$M:$M,MATCH(B96,'03_Ho_So_Nhan_Vien'!$C:$C,0))),""))</f>
      </c>
      <c r="I96" s="78"/>
      <c r="J96" s="78"/>
      <c r="K96" s="78"/>
    </row>
    <row r="97" ht="14.25" customHeight="1" spans="1:11" x14ac:dyDescent="0.25">
      <c r="A97" s="79">
        <f>IFERROR(IF(ISNUMBER(MATCH(96,'05_Theo_Doi_Gio_Cong_7_Ngay'!$O:$O,0)),96,""),"")</f>
      </c>
      <c r="B97" s="87">
        <f t="array" ref="B97">IFERROR(IF(A97="","",INDEX('05_Theo_Doi_Gio_Cong_7_Ngay'!$B:$B,MATCH(96,'05_Theo_Doi_Gio_Cong_7_Ngay'!$O:$O,0))),"")</f>
      </c>
      <c r="C97" s="79">
        <f t="array" ref="C97">IFERROR(IF(A97="","",INDEX('05_Theo_Doi_Gio_Cong_7_Ngay'!$C:$C,MATCH(96,'05_Theo_Doi_Gio_Cong_7_Ngay'!$O:$O,0))),"")</f>
      </c>
      <c r="D97" s="80">
        <f t="array" ref="D97">IFERROR(IF(A97="","",INDEX('05_Theo_Doi_Gio_Cong_7_Ngay'!$D:$D,MATCH(96,'05_Theo_Doi_Gio_Cong_7_Ngay'!$O:$O,0))),"")</f>
      </c>
      <c r="E97" s="80">
        <f t="array" ref="E97">IFERROR(IF(B97="","",INDEX('02_DS_Nhan_Viec'!$G:$G,MATCH(B97,'02_DS_Nhan_Viec'!$J:$J,0))),"")</f>
      </c>
      <c r="F97" s="79">
        <f t="array" ref="F97">IFERROR(IF(B97="","",INDEX('02_DS_Nhan_Viec'!$H:$H,MATCH(B97,'02_DS_Nhan_Viec'!$J:$J,0))),"")</f>
      </c>
      <c r="G97" s="79">
        <f t="array" ref="G97">IFERROR(IF(B97="","",INDEX('02_DS_Nhan_Viec'!$I:$I,MATCH(B97,'02_DS_Nhan_Viec'!$J:$J,0))),"")</f>
      </c>
      <c r="H97" s="79">
        <f t="array" ref="H97">IF(B97="","",IFERROR(IF(INDEX('03_Ho_So_Nhan_Vien'!$M:$M,MATCH(B97,'03_Ho_So_Nhan_Vien'!$C:$C,0))=0,"",INDEX('03_Ho_So_Nhan_Vien'!$M:$M,MATCH(B97,'03_Ho_So_Nhan_Vien'!$C:$C,0))),""))</f>
      </c>
      <c r="I97" s="78"/>
      <c r="J97" s="78"/>
      <c r="K97" s="78"/>
    </row>
    <row r="98" ht="14.25" customHeight="1" spans="1:11" x14ac:dyDescent="0.25">
      <c r="A98" s="79">
        <f>IFERROR(IF(ISNUMBER(MATCH(97,'05_Theo_Doi_Gio_Cong_7_Ngay'!$O:$O,0)),97,""),"")</f>
      </c>
      <c r="B98" s="87">
        <f t="array" ref="B98">IFERROR(IF(A98="","",INDEX('05_Theo_Doi_Gio_Cong_7_Ngay'!$B:$B,MATCH(97,'05_Theo_Doi_Gio_Cong_7_Ngay'!$O:$O,0))),"")</f>
      </c>
      <c r="C98" s="79">
        <f t="array" ref="C98">IFERROR(IF(A98="","",INDEX('05_Theo_Doi_Gio_Cong_7_Ngay'!$C:$C,MATCH(97,'05_Theo_Doi_Gio_Cong_7_Ngay'!$O:$O,0))),"")</f>
      </c>
      <c r="D98" s="80">
        <f t="array" ref="D98">IFERROR(IF(A98="","",INDEX('05_Theo_Doi_Gio_Cong_7_Ngay'!$D:$D,MATCH(97,'05_Theo_Doi_Gio_Cong_7_Ngay'!$O:$O,0))),"")</f>
      </c>
      <c r="E98" s="80">
        <f t="array" ref="E98">IFERROR(IF(B98="","",INDEX('02_DS_Nhan_Viec'!$G:$G,MATCH(B98,'02_DS_Nhan_Viec'!$J:$J,0))),"")</f>
      </c>
      <c r="F98" s="79">
        <f t="array" ref="F98">IFERROR(IF(B98="","",INDEX('02_DS_Nhan_Viec'!$H:$H,MATCH(B98,'02_DS_Nhan_Viec'!$J:$J,0))),"")</f>
      </c>
      <c r="G98" s="79">
        <f t="array" ref="G98">IFERROR(IF(B98="","",INDEX('02_DS_Nhan_Viec'!$I:$I,MATCH(B98,'02_DS_Nhan_Viec'!$J:$J,0))),"")</f>
      </c>
      <c r="H98" s="79">
        <f t="array" ref="H98">IF(B98="","",IFERROR(IF(INDEX('03_Ho_So_Nhan_Vien'!$M:$M,MATCH(B98,'03_Ho_So_Nhan_Vien'!$C:$C,0))=0,"",INDEX('03_Ho_So_Nhan_Vien'!$M:$M,MATCH(B98,'03_Ho_So_Nhan_Vien'!$C:$C,0))),""))</f>
      </c>
      <c r="I98" s="78"/>
      <c r="J98" s="78"/>
      <c r="K98" s="78"/>
    </row>
    <row r="99" ht="14.25" customHeight="1" spans="1:11" x14ac:dyDescent="0.25">
      <c r="A99" s="79">
        <f>IFERROR(IF(ISNUMBER(MATCH(98,'05_Theo_Doi_Gio_Cong_7_Ngay'!$O:$O,0)),98,""),"")</f>
      </c>
      <c r="B99" s="87">
        <f t="array" ref="B99">IFERROR(IF(A99="","",INDEX('05_Theo_Doi_Gio_Cong_7_Ngay'!$B:$B,MATCH(98,'05_Theo_Doi_Gio_Cong_7_Ngay'!$O:$O,0))),"")</f>
      </c>
      <c r="C99" s="79">
        <f t="array" ref="C99">IFERROR(IF(A99="","",INDEX('05_Theo_Doi_Gio_Cong_7_Ngay'!$C:$C,MATCH(98,'05_Theo_Doi_Gio_Cong_7_Ngay'!$O:$O,0))),"")</f>
      </c>
      <c r="D99" s="80">
        <f t="array" ref="D99">IFERROR(IF(A99="","",INDEX('05_Theo_Doi_Gio_Cong_7_Ngay'!$D:$D,MATCH(98,'05_Theo_Doi_Gio_Cong_7_Ngay'!$O:$O,0))),"")</f>
      </c>
      <c r="E99" s="80">
        <f t="array" ref="E99">IFERROR(IF(B99="","",INDEX('02_DS_Nhan_Viec'!$G:$G,MATCH(B99,'02_DS_Nhan_Viec'!$J:$J,0))),"")</f>
      </c>
      <c r="F99" s="79">
        <f t="array" ref="F99">IFERROR(IF(B99="","",INDEX('02_DS_Nhan_Viec'!$H:$H,MATCH(B99,'02_DS_Nhan_Viec'!$J:$J,0))),"")</f>
      </c>
      <c r="G99" s="79">
        <f t="array" ref="G99">IFERROR(IF(B99="","",INDEX('02_DS_Nhan_Viec'!$I:$I,MATCH(B99,'02_DS_Nhan_Viec'!$J:$J,0))),"")</f>
      </c>
      <c r="H99" s="79">
        <f t="array" ref="H99">IF(B99="","",IFERROR(IF(INDEX('03_Ho_So_Nhan_Vien'!$M:$M,MATCH(B99,'03_Ho_So_Nhan_Vien'!$C:$C,0))=0,"",INDEX('03_Ho_So_Nhan_Vien'!$M:$M,MATCH(B99,'03_Ho_So_Nhan_Vien'!$C:$C,0))),""))</f>
      </c>
      <c r="I99" s="78"/>
      <c r="J99" s="78"/>
      <c r="K99" s="78"/>
    </row>
    <row r="100" ht="14.25" customHeight="1" spans="1:11" x14ac:dyDescent="0.25">
      <c r="A100" s="79">
        <f>IFERROR(IF(ISNUMBER(MATCH(99,'05_Theo_Doi_Gio_Cong_7_Ngay'!$O:$O,0)),99,""),"")</f>
      </c>
      <c r="B100" s="87">
        <f t="array" ref="B100">IFERROR(IF(A100="","",INDEX('05_Theo_Doi_Gio_Cong_7_Ngay'!$B:$B,MATCH(99,'05_Theo_Doi_Gio_Cong_7_Ngay'!$O:$O,0))),"")</f>
      </c>
      <c r="C100" s="79">
        <f t="array" ref="C100">IFERROR(IF(A100="","",INDEX('05_Theo_Doi_Gio_Cong_7_Ngay'!$C:$C,MATCH(99,'05_Theo_Doi_Gio_Cong_7_Ngay'!$O:$O,0))),"")</f>
      </c>
      <c r="D100" s="80">
        <f t="array" ref="D100">IFERROR(IF(A100="","",INDEX('05_Theo_Doi_Gio_Cong_7_Ngay'!$D:$D,MATCH(99,'05_Theo_Doi_Gio_Cong_7_Ngay'!$O:$O,0))),"")</f>
      </c>
      <c r="E100" s="80">
        <f t="array" ref="E100">IFERROR(IF(B100="","",INDEX('02_DS_Nhan_Viec'!$G:$G,MATCH(B100,'02_DS_Nhan_Viec'!$J:$J,0))),"")</f>
      </c>
      <c r="F100" s="79">
        <f t="array" ref="F100">IFERROR(IF(B100="","",INDEX('02_DS_Nhan_Viec'!$H:$H,MATCH(B100,'02_DS_Nhan_Viec'!$J:$J,0))),"")</f>
      </c>
      <c r="G100" s="79">
        <f t="array" ref="G100">IFERROR(IF(B100="","",INDEX('02_DS_Nhan_Viec'!$I:$I,MATCH(B100,'02_DS_Nhan_Viec'!$J:$J,0))),"")</f>
      </c>
      <c r="H100" s="79">
        <f t="array" ref="H100">IF(B100="","",IFERROR(IF(INDEX('03_Ho_So_Nhan_Vien'!$M:$M,MATCH(B100,'03_Ho_So_Nhan_Vien'!$C:$C,0))=0,"",INDEX('03_Ho_So_Nhan_Vien'!$M:$M,MATCH(B100,'03_Ho_So_Nhan_Vien'!$C:$C,0))),""))</f>
      </c>
      <c r="I100" s="78"/>
      <c r="J100" s="78"/>
      <c r="K100" s="78"/>
    </row>
    <row r="101" ht="14.25" customHeight="1" spans="1:11" x14ac:dyDescent="0.25">
      <c r="A101" s="79">
        <f>IFERROR(IF(ISNUMBER(MATCH(100,'05_Theo_Doi_Gio_Cong_7_Ngay'!$O:$O,0)),100,""),"")</f>
      </c>
      <c r="B101" s="87">
        <f t="array" ref="B101">IFERROR(IF(A101="","",INDEX('05_Theo_Doi_Gio_Cong_7_Ngay'!$B:$B,MATCH(100,'05_Theo_Doi_Gio_Cong_7_Ngay'!$O:$O,0))),"")</f>
      </c>
      <c r="C101" s="79">
        <f t="array" ref="C101">IFERROR(IF(A101="","",INDEX('05_Theo_Doi_Gio_Cong_7_Ngay'!$C:$C,MATCH(100,'05_Theo_Doi_Gio_Cong_7_Ngay'!$O:$O,0))),"")</f>
      </c>
      <c r="D101" s="80">
        <f t="array" ref="D101">IFERROR(IF(A101="","",INDEX('05_Theo_Doi_Gio_Cong_7_Ngay'!$D:$D,MATCH(100,'05_Theo_Doi_Gio_Cong_7_Ngay'!$O:$O,0))),"")</f>
      </c>
      <c r="E101" s="80">
        <f t="array" ref="E101">IFERROR(IF(B101="","",INDEX('02_DS_Nhan_Viec'!$G:$G,MATCH(B101,'02_DS_Nhan_Viec'!$J:$J,0))),"")</f>
      </c>
      <c r="F101" s="79">
        <f t="array" ref="F101">IFERROR(IF(B101="","",INDEX('02_DS_Nhan_Viec'!$H:$H,MATCH(B101,'02_DS_Nhan_Viec'!$J:$J,0))),"")</f>
      </c>
      <c r="G101" s="79">
        <f t="array" ref="G101">IFERROR(IF(B101="","",INDEX('02_DS_Nhan_Viec'!$I:$I,MATCH(B101,'02_DS_Nhan_Viec'!$J:$J,0))),"")</f>
      </c>
      <c r="H101" s="79">
        <f t="array" ref="H101">IF(B101="","",IFERROR(IF(INDEX('03_Ho_So_Nhan_Vien'!$M:$M,MATCH(B101,'03_Ho_So_Nhan_Vien'!$C:$C,0))=0,"",INDEX('03_Ho_So_Nhan_Vien'!$M:$M,MATCH(B101,'03_Ho_So_Nhan_Vien'!$C:$C,0))),""))</f>
      </c>
      <c r="I101" s="78"/>
      <c r="J101" s="78"/>
      <c r="K101" s="78"/>
    </row>
    <row r="102" ht="14.25" customHeight="1" spans="1:11" x14ac:dyDescent="0.25">
      <c r="A102" s="79">
        <f>IFERROR(IF(ISNUMBER(MATCH(101,'05_Theo_Doi_Gio_Cong_7_Ngay'!$O:$O,0)),101,""),"")</f>
      </c>
      <c r="B102" s="87">
        <f t="array" ref="B102">IFERROR(IF(A102="","",INDEX('05_Theo_Doi_Gio_Cong_7_Ngay'!$B:$B,MATCH(101,'05_Theo_Doi_Gio_Cong_7_Ngay'!$O:$O,0))),"")</f>
      </c>
      <c r="C102" s="79">
        <f t="array" ref="C102">IFERROR(IF(A102="","",INDEX('05_Theo_Doi_Gio_Cong_7_Ngay'!$C:$C,MATCH(101,'05_Theo_Doi_Gio_Cong_7_Ngay'!$O:$O,0))),"")</f>
      </c>
      <c r="D102" s="80">
        <f t="array" ref="D102">IFERROR(IF(A102="","",INDEX('05_Theo_Doi_Gio_Cong_7_Ngay'!$D:$D,MATCH(101,'05_Theo_Doi_Gio_Cong_7_Ngay'!$O:$O,0))),"")</f>
      </c>
      <c r="E102" s="80">
        <f t="array" ref="E102">IFERROR(IF(B102="","",INDEX('02_DS_Nhan_Viec'!$G:$G,MATCH(B102,'02_DS_Nhan_Viec'!$J:$J,0))),"")</f>
      </c>
      <c r="F102" s="79">
        <f t="array" ref="F102">IFERROR(IF(B102="","",INDEX('02_DS_Nhan_Viec'!$H:$H,MATCH(B102,'02_DS_Nhan_Viec'!$J:$J,0))),"")</f>
      </c>
      <c r="G102" s="79">
        <f t="array" ref="G102">IFERROR(IF(B102="","",INDEX('02_DS_Nhan_Viec'!$I:$I,MATCH(B102,'02_DS_Nhan_Viec'!$J:$J,0))),"")</f>
      </c>
      <c r="H102" s="79">
        <f t="array" ref="H102">IF(B102="","",IFERROR(IF(INDEX('03_Ho_So_Nhan_Vien'!$M:$M,MATCH(B102,'03_Ho_So_Nhan_Vien'!$C:$C,0))=0,"",INDEX('03_Ho_So_Nhan_Vien'!$M:$M,MATCH(B102,'03_Ho_So_Nhan_Vien'!$C:$C,0))),""))</f>
      </c>
      <c r="I102" s="78"/>
      <c r="J102" s="78"/>
      <c r="K102" s="78"/>
    </row>
    <row r="103" ht="14.25" customHeight="1" spans="1:11" x14ac:dyDescent="0.25">
      <c r="A103" s="79">
        <f>IFERROR(IF(ISNUMBER(MATCH(102,'05_Theo_Doi_Gio_Cong_7_Ngay'!$O:$O,0)),102,""),"")</f>
      </c>
      <c r="B103" s="87">
        <f t="array" ref="B103">IFERROR(IF(A103="","",INDEX('05_Theo_Doi_Gio_Cong_7_Ngay'!$B:$B,MATCH(102,'05_Theo_Doi_Gio_Cong_7_Ngay'!$O:$O,0))),"")</f>
      </c>
      <c r="C103" s="79">
        <f t="array" ref="C103">IFERROR(IF(A103="","",INDEX('05_Theo_Doi_Gio_Cong_7_Ngay'!$C:$C,MATCH(102,'05_Theo_Doi_Gio_Cong_7_Ngay'!$O:$O,0))),"")</f>
      </c>
      <c r="D103" s="80">
        <f t="array" ref="D103">IFERROR(IF(A103="","",INDEX('05_Theo_Doi_Gio_Cong_7_Ngay'!$D:$D,MATCH(102,'05_Theo_Doi_Gio_Cong_7_Ngay'!$O:$O,0))),"")</f>
      </c>
      <c r="E103" s="80">
        <f t="array" ref="E103">IFERROR(IF(B103="","",INDEX('02_DS_Nhan_Viec'!$G:$G,MATCH(B103,'02_DS_Nhan_Viec'!$J:$J,0))),"")</f>
      </c>
      <c r="F103" s="79">
        <f t="array" ref="F103">IFERROR(IF(B103="","",INDEX('02_DS_Nhan_Viec'!$H:$H,MATCH(B103,'02_DS_Nhan_Viec'!$J:$J,0))),"")</f>
      </c>
      <c r="G103" s="79">
        <f t="array" ref="G103">IFERROR(IF(B103="","",INDEX('02_DS_Nhan_Viec'!$I:$I,MATCH(B103,'02_DS_Nhan_Viec'!$J:$J,0))),"")</f>
      </c>
      <c r="H103" s="79">
        <f t="array" ref="H103">IF(B103="","",IFERROR(IF(INDEX('03_Ho_So_Nhan_Vien'!$M:$M,MATCH(B103,'03_Ho_So_Nhan_Vien'!$C:$C,0))=0,"",INDEX('03_Ho_So_Nhan_Vien'!$M:$M,MATCH(B103,'03_Ho_So_Nhan_Vien'!$C:$C,0))),""))</f>
      </c>
      <c r="I103" s="78"/>
      <c r="J103" s="78"/>
      <c r="K103" s="78"/>
    </row>
    <row r="104" ht="14.25" customHeight="1" spans="1:11" x14ac:dyDescent="0.25">
      <c r="A104" s="79">
        <f>IFERROR(IF(ISNUMBER(MATCH(103,'05_Theo_Doi_Gio_Cong_7_Ngay'!$O:$O,0)),103,""),"")</f>
      </c>
      <c r="B104" s="87">
        <f t="array" ref="B104">IFERROR(IF(A104="","",INDEX('05_Theo_Doi_Gio_Cong_7_Ngay'!$B:$B,MATCH(103,'05_Theo_Doi_Gio_Cong_7_Ngay'!$O:$O,0))),"")</f>
      </c>
      <c r="C104" s="79">
        <f t="array" ref="C104">IFERROR(IF(A104="","",INDEX('05_Theo_Doi_Gio_Cong_7_Ngay'!$C:$C,MATCH(103,'05_Theo_Doi_Gio_Cong_7_Ngay'!$O:$O,0))),"")</f>
      </c>
      <c r="D104" s="80">
        <f t="array" ref="D104">IFERROR(IF(A104="","",INDEX('05_Theo_Doi_Gio_Cong_7_Ngay'!$D:$D,MATCH(103,'05_Theo_Doi_Gio_Cong_7_Ngay'!$O:$O,0))),"")</f>
      </c>
      <c r="E104" s="80">
        <f t="array" ref="E104">IFERROR(IF(B104="","",INDEX('02_DS_Nhan_Viec'!$G:$G,MATCH(B104,'02_DS_Nhan_Viec'!$J:$J,0))),"")</f>
      </c>
      <c r="F104" s="79">
        <f t="array" ref="F104">IFERROR(IF(B104="","",INDEX('02_DS_Nhan_Viec'!$H:$H,MATCH(B104,'02_DS_Nhan_Viec'!$J:$J,0))),"")</f>
      </c>
      <c r="G104" s="79">
        <f t="array" ref="G104">IFERROR(IF(B104="","",INDEX('02_DS_Nhan_Viec'!$I:$I,MATCH(B104,'02_DS_Nhan_Viec'!$J:$J,0))),"")</f>
      </c>
      <c r="H104" s="79">
        <f t="array" ref="H104">IF(B104="","",IFERROR(IF(INDEX('03_Ho_So_Nhan_Vien'!$M:$M,MATCH(B104,'03_Ho_So_Nhan_Vien'!$C:$C,0))=0,"",INDEX('03_Ho_So_Nhan_Vien'!$M:$M,MATCH(B104,'03_Ho_So_Nhan_Vien'!$C:$C,0))),""))</f>
      </c>
      <c r="I104" s="78"/>
      <c r="J104" s="78"/>
      <c r="K104" s="78"/>
    </row>
    <row r="105" ht="14.25" customHeight="1" spans="1:11" x14ac:dyDescent="0.25">
      <c r="A105" s="79">
        <f>IFERROR(IF(ISNUMBER(MATCH(104,'05_Theo_Doi_Gio_Cong_7_Ngay'!$O:$O,0)),104,""),"")</f>
      </c>
      <c r="B105" s="87">
        <f t="array" ref="B105">IFERROR(IF(A105="","",INDEX('05_Theo_Doi_Gio_Cong_7_Ngay'!$B:$B,MATCH(104,'05_Theo_Doi_Gio_Cong_7_Ngay'!$O:$O,0))),"")</f>
      </c>
      <c r="C105" s="79">
        <f t="array" ref="C105">IFERROR(IF(A105="","",INDEX('05_Theo_Doi_Gio_Cong_7_Ngay'!$C:$C,MATCH(104,'05_Theo_Doi_Gio_Cong_7_Ngay'!$O:$O,0))),"")</f>
      </c>
      <c r="D105" s="80">
        <f t="array" ref="D105">IFERROR(IF(A105="","",INDEX('05_Theo_Doi_Gio_Cong_7_Ngay'!$D:$D,MATCH(104,'05_Theo_Doi_Gio_Cong_7_Ngay'!$O:$O,0))),"")</f>
      </c>
      <c r="E105" s="80">
        <f t="array" ref="E105">IFERROR(IF(B105="","",INDEX('02_DS_Nhan_Viec'!$G:$G,MATCH(B105,'02_DS_Nhan_Viec'!$J:$J,0))),"")</f>
      </c>
      <c r="F105" s="79">
        <f t="array" ref="F105">IFERROR(IF(B105="","",INDEX('02_DS_Nhan_Viec'!$H:$H,MATCH(B105,'02_DS_Nhan_Viec'!$J:$J,0))),"")</f>
      </c>
      <c r="G105" s="79">
        <f t="array" ref="G105">IFERROR(IF(B105="","",INDEX('02_DS_Nhan_Viec'!$I:$I,MATCH(B105,'02_DS_Nhan_Viec'!$J:$J,0))),"")</f>
      </c>
      <c r="H105" s="79">
        <f t="array" ref="H105">IF(B105="","",IFERROR(IF(INDEX('03_Ho_So_Nhan_Vien'!$M:$M,MATCH(B105,'03_Ho_So_Nhan_Vien'!$C:$C,0))=0,"",INDEX('03_Ho_So_Nhan_Vien'!$M:$M,MATCH(B105,'03_Ho_So_Nhan_Vien'!$C:$C,0))),""))</f>
      </c>
      <c r="I105" s="78"/>
      <c r="J105" s="78"/>
      <c r="K105" s="78"/>
    </row>
    <row r="106" ht="14.25" customHeight="1" spans="1:11" x14ac:dyDescent="0.25">
      <c r="A106" s="79">
        <f>IFERROR(IF(ISNUMBER(MATCH(105,'05_Theo_Doi_Gio_Cong_7_Ngay'!$O:$O,0)),105,""),"")</f>
      </c>
      <c r="B106" s="87">
        <f t="array" ref="B106">IFERROR(IF(A106="","",INDEX('05_Theo_Doi_Gio_Cong_7_Ngay'!$B:$B,MATCH(105,'05_Theo_Doi_Gio_Cong_7_Ngay'!$O:$O,0))),"")</f>
      </c>
      <c r="C106" s="79">
        <f t="array" ref="C106">IFERROR(IF(A106="","",INDEX('05_Theo_Doi_Gio_Cong_7_Ngay'!$C:$C,MATCH(105,'05_Theo_Doi_Gio_Cong_7_Ngay'!$O:$O,0))),"")</f>
      </c>
      <c r="D106" s="80">
        <f t="array" ref="D106">IFERROR(IF(A106="","",INDEX('05_Theo_Doi_Gio_Cong_7_Ngay'!$D:$D,MATCH(105,'05_Theo_Doi_Gio_Cong_7_Ngay'!$O:$O,0))),"")</f>
      </c>
      <c r="E106" s="80">
        <f t="array" ref="E106">IFERROR(IF(B106="","",INDEX('02_DS_Nhan_Viec'!$G:$G,MATCH(B106,'02_DS_Nhan_Viec'!$J:$J,0))),"")</f>
      </c>
      <c r="F106" s="79">
        <f t="array" ref="F106">IFERROR(IF(B106="","",INDEX('02_DS_Nhan_Viec'!$H:$H,MATCH(B106,'02_DS_Nhan_Viec'!$J:$J,0))),"")</f>
      </c>
      <c r="G106" s="79">
        <f t="array" ref="G106">IFERROR(IF(B106="","",INDEX('02_DS_Nhan_Viec'!$I:$I,MATCH(B106,'02_DS_Nhan_Viec'!$J:$J,0))),"")</f>
      </c>
      <c r="H106" s="79">
        <f t="array" ref="H106">IF(B106="","",IFERROR(IF(INDEX('03_Ho_So_Nhan_Vien'!$M:$M,MATCH(B106,'03_Ho_So_Nhan_Vien'!$C:$C,0))=0,"",INDEX('03_Ho_So_Nhan_Vien'!$M:$M,MATCH(B106,'03_Ho_So_Nhan_Vien'!$C:$C,0))),""))</f>
      </c>
      <c r="I106" s="78"/>
      <c r="J106" s="78"/>
      <c r="K106" s="78"/>
    </row>
    <row r="107" ht="14.25" customHeight="1" spans="1:11" x14ac:dyDescent="0.25">
      <c r="A107" s="79">
        <f>IFERROR(IF(ISNUMBER(MATCH(106,'05_Theo_Doi_Gio_Cong_7_Ngay'!$O:$O,0)),106,""),"")</f>
      </c>
      <c r="B107" s="87">
        <f t="array" ref="B107">IFERROR(IF(A107="","",INDEX('05_Theo_Doi_Gio_Cong_7_Ngay'!$B:$B,MATCH(106,'05_Theo_Doi_Gio_Cong_7_Ngay'!$O:$O,0))),"")</f>
      </c>
      <c r="C107" s="79">
        <f t="array" ref="C107">IFERROR(IF(A107="","",INDEX('05_Theo_Doi_Gio_Cong_7_Ngay'!$C:$C,MATCH(106,'05_Theo_Doi_Gio_Cong_7_Ngay'!$O:$O,0))),"")</f>
      </c>
      <c r="D107" s="80">
        <f t="array" ref="D107">IFERROR(IF(A107="","",INDEX('05_Theo_Doi_Gio_Cong_7_Ngay'!$D:$D,MATCH(106,'05_Theo_Doi_Gio_Cong_7_Ngay'!$O:$O,0))),"")</f>
      </c>
      <c r="E107" s="80">
        <f t="array" ref="E107">IFERROR(IF(B107="","",INDEX('02_DS_Nhan_Viec'!$G:$G,MATCH(B107,'02_DS_Nhan_Viec'!$J:$J,0))),"")</f>
      </c>
      <c r="F107" s="79">
        <f t="array" ref="F107">IFERROR(IF(B107="","",INDEX('02_DS_Nhan_Viec'!$H:$H,MATCH(B107,'02_DS_Nhan_Viec'!$J:$J,0))),"")</f>
      </c>
      <c r="G107" s="79">
        <f t="array" ref="G107">IFERROR(IF(B107="","",INDEX('02_DS_Nhan_Viec'!$I:$I,MATCH(B107,'02_DS_Nhan_Viec'!$J:$J,0))),"")</f>
      </c>
      <c r="H107" s="79">
        <f t="array" ref="H107">IF(B107="","",IFERROR(IF(INDEX('03_Ho_So_Nhan_Vien'!$M:$M,MATCH(B107,'03_Ho_So_Nhan_Vien'!$C:$C,0))=0,"",INDEX('03_Ho_So_Nhan_Vien'!$M:$M,MATCH(B107,'03_Ho_So_Nhan_Vien'!$C:$C,0))),""))</f>
      </c>
      <c r="I107" s="78"/>
      <c r="J107" s="78"/>
      <c r="K107" s="78"/>
    </row>
    <row r="108" ht="14.25" customHeight="1" spans="1:11" x14ac:dyDescent="0.25">
      <c r="A108" s="79">
        <f>IFERROR(IF(ISNUMBER(MATCH(107,'05_Theo_Doi_Gio_Cong_7_Ngay'!$O:$O,0)),107,""),"")</f>
      </c>
      <c r="B108" s="87">
        <f t="array" ref="B108">IFERROR(IF(A108="","",INDEX('05_Theo_Doi_Gio_Cong_7_Ngay'!$B:$B,MATCH(107,'05_Theo_Doi_Gio_Cong_7_Ngay'!$O:$O,0))),"")</f>
      </c>
      <c r="C108" s="79">
        <f t="array" ref="C108">IFERROR(IF(A108="","",INDEX('05_Theo_Doi_Gio_Cong_7_Ngay'!$C:$C,MATCH(107,'05_Theo_Doi_Gio_Cong_7_Ngay'!$O:$O,0))),"")</f>
      </c>
      <c r="D108" s="80">
        <f t="array" ref="D108">IFERROR(IF(A108="","",INDEX('05_Theo_Doi_Gio_Cong_7_Ngay'!$D:$D,MATCH(107,'05_Theo_Doi_Gio_Cong_7_Ngay'!$O:$O,0))),"")</f>
      </c>
      <c r="E108" s="80">
        <f t="array" ref="E108">IFERROR(IF(B108="","",INDEX('02_DS_Nhan_Viec'!$G:$G,MATCH(B108,'02_DS_Nhan_Viec'!$J:$J,0))),"")</f>
      </c>
      <c r="F108" s="79">
        <f t="array" ref="F108">IFERROR(IF(B108="","",INDEX('02_DS_Nhan_Viec'!$H:$H,MATCH(B108,'02_DS_Nhan_Viec'!$J:$J,0))),"")</f>
      </c>
      <c r="G108" s="79">
        <f t="array" ref="G108">IFERROR(IF(B108="","",INDEX('02_DS_Nhan_Viec'!$I:$I,MATCH(B108,'02_DS_Nhan_Viec'!$J:$J,0))),"")</f>
      </c>
      <c r="H108" s="79">
        <f t="array" ref="H108">IF(B108="","",IFERROR(IF(INDEX('03_Ho_So_Nhan_Vien'!$M:$M,MATCH(B108,'03_Ho_So_Nhan_Vien'!$C:$C,0))=0,"",INDEX('03_Ho_So_Nhan_Vien'!$M:$M,MATCH(B108,'03_Ho_So_Nhan_Vien'!$C:$C,0))),""))</f>
      </c>
      <c r="I108" s="78"/>
      <c r="J108" s="78"/>
      <c r="K108" s="78"/>
    </row>
    <row r="109" ht="14.25" customHeight="1" spans="1:11" x14ac:dyDescent="0.25">
      <c r="A109" s="79">
        <f>IFERROR(IF(ISNUMBER(MATCH(108,'05_Theo_Doi_Gio_Cong_7_Ngay'!$O:$O,0)),108,""),"")</f>
      </c>
      <c r="B109" s="87">
        <f t="array" ref="B109">IFERROR(IF(A109="","",INDEX('05_Theo_Doi_Gio_Cong_7_Ngay'!$B:$B,MATCH(108,'05_Theo_Doi_Gio_Cong_7_Ngay'!$O:$O,0))),"")</f>
      </c>
      <c r="C109" s="79">
        <f t="array" ref="C109">IFERROR(IF(A109="","",INDEX('05_Theo_Doi_Gio_Cong_7_Ngay'!$C:$C,MATCH(108,'05_Theo_Doi_Gio_Cong_7_Ngay'!$O:$O,0))),"")</f>
      </c>
      <c r="D109" s="80">
        <f t="array" ref="D109">IFERROR(IF(A109="","",INDEX('05_Theo_Doi_Gio_Cong_7_Ngay'!$D:$D,MATCH(108,'05_Theo_Doi_Gio_Cong_7_Ngay'!$O:$O,0))),"")</f>
      </c>
      <c r="E109" s="80">
        <f t="array" ref="E109">IFERROR(IF(B109="","",INDEX('02_DS_Nhan_Viec'!$G:$G,MATCH(B109,'02_DS_Nhan_Viec'!$J:$J,0))),"")</f>
      </c>
      <c r="F109" s="79">
        <f t="array" ref="F109">IFERROR(IF(B109="","",INDEX('02_DS_Nhan_Viec'!$H:$H,MATCH(B109,'02_DS_Nhan_Viec'!$J:$J,0))),"")</f>
      </c>
      <c r="G109" s="79">
        <f t="array" ref="G109">IFERROR(IF(B109="","",INDEX('02_DS_Nhan_Viec'!$I:$I,MATCH(B109,'02_DS_Nhan_Viec'!$J:$J,0))),"")</f>
      </c>
      <c r="H109" s="79">
        <f t="array" ref="H109">IF(B109="","",IFERROR(IF(INDEX('03_Ho_So_Nhan_Vien'!$M:$M,MATCH(B109,'03_Ho_So_Nhan_Vien'!$C:$C,0))=0,"",INDEX('03_Ho_So_Nhan_Vien'!$M:$M,MATCH(B109,'03_Ho_So_Nhan_Vien'!$C:$C,0))),""))</f>
      </c>
      <c r="I109" s="78"/>
      <c r="J109" s="78"/>
      <c r="K109" s="78"/>
    </row>
    <row r="110" ht="14.25" customHeight="1" spans="1:11" x14ac:dyDescent="0.25">
      <c r="A110" s="79">
        <f>IFERROR(IF(ISNUMBER(MATCH(109,'05_Theo_Doi_Gio_Cong_7_Ngay'!$O:$O,0)),109,""),"")</f>
      </c>
      <c r="B110" s="87">
        <f t="array" ref="B110">IFERROR(IF(A110="","",INDEX('05_Theo_Doi_Gio_Cong_7_Ngay'!$B:$B,MATCH(109,'05_Theo_Doi_Gio_Cong_7_Ngay'!$O:$O,0))),"")</f>
      </c>
      <c r="C110" s="79">
        <f t="array" ref="C110">IFERROR(IF(A110="","",INDEX('05_Theo_Doi_Gio_Cong_7_Ngay'!$C:$C,MATCH(109,'05_Theo_Doi_Gio_Cong_7_Ngay'!$O:$O,0))),"")</f>
      </c>
      <c r="D110" s="80">
        <f t="array" ref="D110">IFERROR(IF(A110="","",INDEX('05_Theo_Doi_Gio_Cong_7_Ngay'!$D:$D,MATCH(109,'05_Theo_Doi_Gio_Cong_7_Ngay'!$O:$O,0))),"")</f>
      </c>
      <c r="E110" s="80">
        <f t="array" ref="E110">IFERROR(IF(B110="","",INDEX('02_DS_Nhan_Viec'!$G:$G,MATCH(B110,'02_DS_Nhan_Viec'!$J:$J,0))),"")</f>
      </c>
      <c r="F110" s="79">
        <f t="array" ref="F110">IFERROR(IF(B110="","",INDEX('02_DS_Nhan_Viec'!$H:$H,MATCH(B110,'02_DS_Nhan_Viec'!$J:$J,0))),"")</f>
      </c>
      <c r="G110" s="79">
        <f t="array" ref="G110">IFERROR(IF(B110="","",INDEX('02_DS_Nhan_Viec'!$I:$I,MATCH(B110,'02_DS_Nhan_Viec'!$J:$J,0))),"")</f>
      </c>
      <c r="H110" s="79">
        <f t="array" ref="H110">IF(B110="","",IFERROR(IF(INDEX('03_Ho_So_Nhan_Vien'!$M:$M,MATCH(B110,'03_Ho_So_Nhan_Vien'!$C:$C,0))=0,"",INDEX('03_Ho_So_Nhan_Vien'!$M:$M,MATCH(B110,'03_Ho_So_Nhan_Vien'!$C:$C,0))),""))</f>
      </c>
      <c r="I110" s="78"/>
      <c r="J110" s="78"/>
      <c r="K110" s="78"/>
    </row>
    <row r="111" ht="14.25" customHeight="1" spans="1:11" x14ac:dyDescent="0.25">
      <c r="A111" s="79">
        <f>IFERROR(IF(ISNUMBER(MATCH(110,'05_Theo_Doi_Gio_Cong_7_Ngay'!$O:$O,0)),110,""),"")</f>
      </c>
      <c r="B111" s="87">
        <f t="array" ref="B111">IFERROR(IF(A111="","",INDEX('05_Theo_Doi_Gio_Cong_7_Ngay'!$B:$B,MATCH(110,'05_Theo_Doi_Gio_Cong_7_Ngay'!$O:$O,0))),"")</f>
      </c>
      <c r="C111" s="79">
        <f t="array" ref="C111">IFERROR(IF(A111="","",INDEX('05_Theo_Doi_Gio_Cong_7_Ngay'!$C:$C,MATCH(110,'05_Theo_Doi_Gio_Cong_7_Ngay'!$O:$O,0))),"")</f>
      </c>
      <c r="D111" s="80">
        <f t="array" ref="D111">IFERROR(IF(A111="","",INDEX('05_Theo_Doi_Gio_Cong_7_Ngay'!$D:$D,MATCH(110,'05_Theo_Doi_Gio_Cong_7_Ngay'!$O:$O,0))),"")</f>
      </c>
      <c r="E111" s="80">
        <f t="array" ref="E111">IFERROR(IF(B111="","",INDEX('02_DS_Nhan_Viec'!$G:$G,MATCH(B111,'02_DS_Nhan_Viec'!$J:$J,0))),"")</f>
      </c>
      <c r="F111" s="79">
        <f t="array" ref="F111">IFERROR(IF(B111="","",INDEX('02_DS_Nhan_Viec'!$H:$H,MATCH(B111,'02_DS_Nhan_Viec'!$J:$J,0))),"")</f>
      </c>
      <c r="G111" s="79">
        <f t="array" ref="G111">IFERROR(IF(B111="","",INDEX('02_DS_Nhan_Viec'!$I:$I,MATCH(B111,'02_DS_Nhan_Viec'!$J:$J,0))),"")</f>
      </c>
      <c r="H111" s="79">
        <f t="array" ref="H111">IF(B111="","",IFERROR(IF(INDEX('03_Ho_So_Nhan_Vien'!$M:$M,MATCH(B111,'03_Ho_So_Nhan_Vien'!$C:$C,0))=0,"",INDEX('03_Ho_So_Nhan_Vien'!$M:$M,MATCH(B111,'03_Ho_So_Nhan_Vien'!$C:$C,0))),""))</f>
      </c>
      <c r="I111" s="78"/>
      <c r="J111" s="78"/>
      <c r="K111" s="78"/>
    </row>
    <row r="112" ht="14.25" customHeight="1" spans="1:11" x14ac:dyDescent="0.25">
      <c r="A112" s="79">
        <f>IFERROR(IF(ISNUMBER(MATCH(111,'05_Theo_Doi_Gio_Cong_7_Ngay'!$O:$O,0)),111,""),"")</f>
      </c>
      <c r="B112" s="87">
        <f t="array" ref="B112">IFERROR(IF(A112="","",INDEX('05_Theo_Doi_Gio_Cong_7_Ngay'!$B:$B,MATCH(111,'05_Theo_Doi_Gio_Cong_7_Ngay'!$O:$O,0))),"")</f>
      </c>
      <c r="C112" s="79">
        <f t="array" ref="C112">IFERROR(IF(A112="","",INDEX('05_Theo_Doi_Gio_Cong_7_Ngay'!$C:$C,MATCH(111,'05_Theo_Doi_Gio_Cong_7_Ngay'!$O:$O,0))),"")</f>
      </c>
      <c r="D112" s="80">
        <f t="array" ref="D112">IFERROR(IF(A112="","",INDEX('05_Theo_Doi_Gio_Cong_7_Ngay'!$D:$D,MATCH(111,'05_Theo_Doi_Gio_Cong_7_Ngay'!$O:$O,0))),"")</f>
      </c>
      <c r="E112" s="80">
        <f t="array" ref="E112">IFERROR(IF(B112="","",INDEX('02_DS_Nhan_Viec'!$G:$G,MATCH(B112,'02_DS_Nhan_Viec'!$J:$J,0))),"")</f>
      </c>
      <c r="F112" s="79">
        <f t="array" ref="F112">IFERROR(IF(B112="","",INDEX('02_DS_Nhan_Viec'!$H:$H,MATCH(B112,'02_DS_Nhan_Viec'!$J:$J,0))),"")</f>
      </c>
      <c r="G112" s="79">
        <f t="array" ref="G112">IFERROR(IF(B112="","",INDEX('02_DS_Nhan_Viec'!$I:$I,MATCH(B112,'02_DS_Nhan_Viec'!$J:$J,0))),"")</f>
      </c>
      <c r="H112" s="79">
        <f t="array" ref="H112">IF(B112="","",IFERROR(IF(INDEX('03_Ho_So_Nhan_Vien'!$M:$M,MATCH(B112,'03_Ho_So_Nhan_Vien'!$C:$C,0))=0,"",INDEX('03_Ho_So_Nhan_Vien'!$M:$M,MATCH(B112,'03_Ho_So_Nhan_Vien'!$C:$C,0))),""))</f>
      </c>
      <c r="I112" s="78"/>
      <c r="J112" s="78"/>
      <c r="K112" s="78"/>
    </row>
    <row r="113" ht="14.25" customHeight="1" spans="1:11" x14ac:dyDescent="0.25">
      <c r="A113" s="79">
        <f>IFERROR(IF(ISNUMBER(MATCH(112,'05_Theo_Doi_Gio_Cong_7_Ngay'!$O:$O,0)),112,""),"")</f>
      </c>
      <c r="B113" s="87">
        <f t="array" ref="B113">IFERROR(IF(A113="","",INDEX('05_Theo_Doi_Gio_Cong_7_Ngay'!$B:$B,MATCH(112,'05_Theo_Doi_Gio_Cong_7_Ngay'!$O:$O,0))),"")</f>
      </c>
      <c r="C113" s="79">
        <f t="array" ref="C113">IFERROR(IF(A113="","",INDEX('05_Theo_Doi_Gio_Cong_7_Ngay'!$C:$C,MATCH(112,'05_Theo_Doi_Gio_Cong_7_Ngay'!$O:$O,0))),"")</f>
      </c>
      <c r="D113" s="80">
        <f t="array" ref="D113">IFERROR(IF(A113="","",INDEX('05_Theo_Doi_Gio_Cong_7_Ngay'!$D:$D,MATCH(112,'05_Theo_Doi_Gio_Cong_7_Ngay'!$O:$O,0))),"")</f>
      </c>
      <c r="E113" s="80">
        <f t="array" ref="E113">IFERROR(IF(B113="","",INDEX('02_DS_Nhan_Viec'!$G:$G,MATCH(B113,'02_DS_Nhan_Viec'!$J:$J,0))),"")</f>
      </c>
      <c r="F113" s="79">
        <f t="array" ref="F113">IFERROR(IF(B113="","",INDEX('02_DS_Nhan_Viec'!$H:$H,MATCH(B113,'02_DS_Nhan_Viec'!$J:$J,0))),"")</f>
      </c>
      <c r="G113" s="79">
        <f t="array" ref="G113">IFERROR(IF(B113="","",INDEX('02_DS_Nhan_Viec'!$I:$I,MATCH(B113,'02_DS_Nhan_Viec'!$J:$J,0))),"")</f>
      </c>
      <c r="H113" s="79">
        <f t="array" ref="H113">IF(B113="","",IFERROR(IF(INDEX('03_Ho_So_Nhan_Vien'!$M:$M,MATCH(B113,'03_Ho_So_Nhan_Vien'!$C:$C,0))=0,"",INDEX('03_Ho_So_Nhan_Vien'!$M:$M,MATCH(B113,'03_Ho_So_Nhan_Vien'!$C:$C,0))),""))</f>
      </c>
      <c r="I113" s="78"/>
      <c r="J113" s="78"/>
      <c r="K113" s="78"/>
    </row>
    <row r="114" ht="14.25" customHeight="1" spans="1:11" x14ac:dyDescent="0.25">
      <c r="A114" s="79">
        <f>IFERROR(IF(ISNUMBER(MATCH(113,'05_Theo_Doi_Gio_Cong_7_Ngay'!$O:$O,0)),113,""),"")</f>
      </c>
      <c r="B114" s="87">
        <f t="array" ref="B114">IFERROR(IF(A114="","",INDEX('05_Theo_Doi_Gio_Cong_7_Ngay'!$B:$B,MATCH(113,'05_Theo_Doi_Gio_Cong_7_Ngay'!$O:$O,0))),"")</f>
      </c>
      <c r="C114" s="79">
        <f t="array" ref="C114">IFERROR(IF(A114="","",INDEX('05_Theo_Doi_Gio_Cong_7_Ngay'!$C:$C,MATCH(113,'05_Theo_Doi_Gio_Cong_7_Ngay'!$O:$O,0))),"")</f>
      </c>
      <c r="D114" s="80">
        <f t="array" ref="D114">IFERROR(IF(A114="","",INDEX('05_Theo_Doi_Gio_Cong_7_Ngay'!$D:$D,MATCH(113,'05_Theo_Doi_Gio_Cong_7_Ngay'!$O:$O,0))),"")</f>
      </c>
      <c r="E114" s="80">
        <f t="array" ref="E114">IFERROR(IF(B114="","",INDEX('02_DS_Nhan_Viec'!$G:$G,MATCH(B114,'02_DS_Nhan_Viec'!$J:$J,0))),"")</f>
      </c>
      <c r="F114" s="79">
        <f t="array" ref="F114">IFERROR(IF(B114="","",INDEX('02_DS_Nhan_Viec'!$H:$H,MATCH(B114,'02_DS_Nhan_Viec'!$J:$J,0))),"")</f>
      </c>
      <c r="G114" s="79">
        <f t="array" ref="G114">IFERROR(IF(B114="","",INDEX('02_DS_Nhan_Viec'!$I:$I,MATCH(B114,'02_DS_Nhan_Viec'!$J:$J,0))),"")</f>
      </c>
      <c r="H114" s="79">
        <f t="array" ref="H114">IF(B114="","",IFERROR(IF(INDEX('03_Ho_So_Nhan_Vien'!$M:$M,MATCH(B114,'03_Ho_So_Nhan_Vien'!$C:$C,0))=0,"",INDEX('03_Ho_So_Nhan_Vien'!$M:$M,MATCH(B114,'03_Ho_So_Nhan_Vien'!$C:$C,0))),""))</f>
      </c>
      <c r="I114" s="78"/>
      <c r="J114" s="78"/>
      <c r="K114" s="78"/>
    </row>
    <row r="115" ht="14.25" customHeight="1" spans="1:11" x14ac:dyDescent="0.25">
      <c r="A115" s="79">
        <f>IFERROR(IF(ISNUMBER(MATCH(114,'05_Theo_Doi_Gio_Cong_7_Ngay'!$O:$O,0)),114,""),"")</f>
      </c>
      <c r="B115" s="87">
        <f t="array" ref="B115">IFERROR(IF(A115="","",INDEX('05_Theo_Doi_Gio_Cong_7_Ngay'!$B:$B,MATCH(114,'05_Theo_Doi_Gio_Cong_7_Ngay'!$O:$O,0))),"")</f>
      </c>
      <c r="C115" s="79">
        <f t="array" ref="C115">IFERROR(IF(A115="","",INDEX('05_Theo_Doi_Gio_Cong_7_Ngay'!$C:$C,MATCH(114,'05_Theo_Doi_Gio_Cong_7_Ngay'!$O:$O,0))),"")</f>
      </c>
      <c r="D115" s="80">
        <f t="array" ref="D115">IFERROR(IF(A115="","",INDEX('05_Theo_Doi_Gio_Cong_7_Ngay'!$D:$D,MATCH(114,'05_Theo_Doi_Gio_Cong_7_Ngay'!$O:$O,0))),"")</f>
      </c>
      <c r="E115" s="80">
        <f t="array" ref="E115">IFERROR(IF(B115="","",INDEX('02_DS_Nhan_Viec'!$G:$G,MATCH(B115,'02_DS_Nhan_Viec'!$J:$J,0))),"")</f>
      </c>
      <c r="F115" s="79">
        <f t="array" ref="F115">IFERROR(IF(B115="","",INDEX('02_DS_Nhan_Viec'!$H:$H,MATCH(B115,'02_DS_Nhan_Viec'!$J:$J,0))),"")</f>
      </c>
      <c r="G115" s="79">
        <f t="array" ref="G115">IFERROR(IF(B115="","",INDEX('02_DS_Nhan_Viec'!$I:$I,MATCH(B115,'02_DS_Nhan_Viec'!$J:$J,0))),"")</f>
      </c>
      <c r="H115" s="79">
        <f t="array" ref="H115">IF(B115="","",IFERROR(IF(INDEX('03_Ho_So_Nhan_Vien'!$M:$M,MATCH(B115,'03_Ho_So_Nhan_Vien'!$C:$C,0))=0,"",INDEX('03_Ho_So_Nhan_Vien'!$M:$M,MATCH(B115,'03_Ho_So_Nhan_Vien'!$C:$C,0))),""))</f>
      </c>
      <c r="I115" s="78"/>
      <c r="J115" s="78"/>
      <c r="K115" s="78"/>
    </row>
    <row r="116" ht="14.25" customHeight="1" spans="1:11" x14ac:dyDescent="0.25">
      <c r="A116" s="79">
        <f>IFERROR(IF(ISNUMBER(MATCH(115,'05_Theo_Doi_Gio_Cong_7_Ngay'!$O:$O,0)),115,""),"")</f>
      </c>
      <c r="B116" s="87">
        <f t="array" ref="B116">IFERROR(IF(A116="","",INDEX('05_Theo_Doi_Gio_Cong_7_Ngay'!$B:$B,MATCH(115,'05_Theo_Doi_Gio_Cong_7_Ngay'!$O:$O,0))),"")</f>
      </c>
      <c r="C116" s="79">
        <f t="array" ref="C116">IFERROR(IF(A116="","",INDEX('05_Theo_Doi_Gio_Cong_7_Ngay'!$C:$C,MATCH(115,'05_Theo_Doi_Gio_Cong_7_Ngay'!$O:$O,0))),"")</f>
      </c>
      <c r="D116" s="80">
        <f t="array" ref="D116">IFERROR(IF(A116="","",INDEX('05_Theo_Doi_Gio_Cong_7_Ngay'!$D:$D,MATCH(115,'05_Theo_Doi_Gio_Cong_7_Ngay'!$O:$O,0))),"")</f>
      </c>
      <c r="E116" s="80">
        <f t="array" ref="E116">IFERROR(IF(B116="","",INDEX('02_DS_Nhan_Viec'!$G:$G,MATCH(B116,'02_DS_Nhan_Viec'!$J:$J,0))),"")</f>
      </c>
      <c r="F116" s="79">
        <f t="array" ref="F116">IFERROR(IF(B116="","",INDEX('02_DS_Nhan_Viec'!$H:$H,MATCH(B116,'02_DS_Nhan_Viec'!$J:$J,0))),"")</f>
      </c>
      <c r="G116" s="79">
        <f t="array" ref="G116">IFERROR(IF(B116="","",INDEX('02_DS_Nhan_Viec'!$I:$I,MATCH(B116,'02_DS_Nhan_Viec'!$J:$J,0))),"")</f>
      </c>
      <c r="H116" s="79">
        <f t="array" ref="H116">IF(B116="","",IFERROR(IF(INDEX('03_Ho_So_Nhan_Vien'!$M:$M,MATCH(B116,'03_Ho_So_Nhan_Vien'!$C:$C,0))=0,"",INDEX('03_Ho_So_Nhan_Vien'!$M:$M,MATCH(B116,'03_Ho_So_Nhan_Vien'!$C:$C,0))),""))</f>
      </c>
      <c r="I116" s="78"/>
      <c r="J116" s="78"/>
      <c r="K116" s="78"/>
    </row>
    <row r="117" ht="14.25" customHeight="1" spans="1:11" x14ac:dyDescent="0.25">
      <c r="A117" s="79">
        <f>IFERROR(IF(ISNUMBER(MATCH(116,'05_Theo_Doi_Gio_Cong_7_Ngay'!$O:$O,0)),116,""),"")</f>
      </c>
      <c r="B117" s="87">
        <f t="array" ref="B117">IFERROR(IF(A117="","",INDEX('05_Theo_Doi_Gio_Cong_7_Ngay'!$B:$B,MATCH(116,'05_Theo_Doi_Gio_Cong_7_Ngay'!$O:$O,0))),"")</f>
      </c>
      <c r="C117" s="79">
        <f t="array" ref="C117">IFERROR(IF(A117="","",INDEX('05_Theo_Doi_Gio_Cong_7_Ngay'!$C:$C,MATCH(116,'05_Theo_Doi_Gio_Cong_7_Ngay'!$O:$O,0))),"")</f>
      </c>
      <c r="D117" s="80">
        <f t="array" ref="D117">IFERROR(IF(A117="","",INDEX('05_Theo_Doi_Gio_Cong_7_Ngay'!$D:$D,MATCH(116,'05_Theo_Doi_Gio_Cong_7_Ngay'!$O:$O,0))),"")</f>
      </c>
      <c r="E117" s="80">
        <f t="array" ref="E117">IFERROR(IF(B117="","",INDEX('02_DS_Nhan_Viec'!$G:$G,MATCH(B117,'02_DS_Nhan_Viec'!$J:$J,0))),"")</f>
      </c>
      <c r="F117" s="79">
        <f t="array" ref="F117">IFERROR(IF(B117="","",INDEX('02_DS_Nhan_Viec'!$H:$H,MATCH(B117,'02_DS_Nhan_Viec'!$J:$J,0))),"")</f>
      </c>
      <c r="G117" s="79">
        <f t="array" ref="G117">IFERROR(IF(B117="","",INDEX('02_DS_Nhan_Viec'!$I:$I,MATCH(B117,'02_DS_Nhan_Viec'!$J:$J,0))),"")</f>
      </c>
      <c r="H117" s="79">
        <f t="array" ref="H117">IF(B117="","",IFERROR(IF(INDEX('03_Ho_So_Nhan_Vien'!$M:$M,MATCH(B117,'03_Ho_So_Nhan_Vien'!$C:$C,0))=0,"",INDEX('03_Ho_So_Nhan_Vien'!$M:$M,MATCH(B117,'03_Ho_So_Nhan_Vien'!$C:$C,0))),""))</f>
      </c>
      <c r="I117" s="78"/>
      <c r="J117" s="78"/>
      <c r="K117" s="78"/>
    </row>
    <row r="118" ht="14.25" customHeight="1" spans="1:11" x14ac:dyDescent="0.25">
      <c r="A118" s="79">
        <f>IFERROR(IF(ISNUMBER(MATCH(117,'05_Theo_Doi_Gio_Cong_7_Ngay'!$O:$O,0)),117,""),"")</f>
      </c>
      <c r="B118" s="87">
        <f t="array" ref="B118">IFERROR(IF(A118="","",INDEX('05_Theo_Doi_Gio_Cong_7_Ngay'!$B:$B,MATCH(117,'05_Theo_Doi_Gio_Cong_7_Ngay'!$O:$O,0))),"")</f>
      </c>
      <c r="C118" s="79">
        <f t="array" ref="C118">IFERROR(IF(A118="","",INDEX('05_Theo_Doi_Gio_Cong_7_Ngay'!$C:$C,MATCH(117,'05_Theo_Doi_Gio_Cong_7_Ngay'!$O:$O,0))),"")</f>
      </c>
      <c r="D118" s="80">
        <f t="array" ref="D118">IFERROR(IF(A118="","",INDEX('05_Theo_Doi_Gio_Cong_7_Ngay'!$D:$D,MATCH(117,'05_Theo_Doi_Gio_Cong_7_Ngay'!$O:$O,0))),"")</f>
      </c>
      <c r="E118" s="80">
        <f t="array" ref="E118">IFERROR(IF(B118="","",INDEX('02_DS_Nhan_Viec'!$G:$G,MATCH(B118,'02_DS_Nhan_Viec'!$J:$J,0))),"")</f>
      </c>
      <c r="F118" s="79">
        <f t="array" ref="F118">IFERROR(IF(B118="","",INDEX('02_DS_Nhan_Viec'!$H:$H,MATCH(B118,'02_DS_Nhan_Viec'!$J:$J,0))),"")</f>
      </c>
      <c r="G118" s="79">
        <f t="array" ref="G118">IFERROR(IF(B118="","",INDEX('02_DS_Nhan_Viec'!$I:$I,MATCH(B118,'02_DS_Nhan_Viec'!$J:$J,0))),"")</f>
      </c>
      <c r="H118" s="79">
        <f t="array" ref="H118">IF(B118="","",IFERROR(IF(INDEX('03_Ho_So_Nhan_Vien'!$M:$M,MATCH(B118,'03_Ho_So_Nhan_Vien'!$C:$C,0))=0,"",INDEX('03_Ho_So_Nhan_Vien'!$M:$M,MATCH(B118,'03_Ho_So_Nhan_Vien'!$C:$C,0))),""))</f>
      </c>
      <c r="I118" s="78"/>
      <c r="J118" s="78"/>
      <c r="K118" s="78"/>
    </row>
    <row r="119" ht="14.25" customHeight="1" spans="1:11" x14ac:dyDescent="0.25">
      <c r="A119" s="79">
        <f>IFERROR(IF(ISNUMBER(MATCH(118,'05_Theo_Doi_Gio_Cong_7_Ngay'!$O:$O,0)),118,""),"")</f>
      </c>
      <c r="B119" s="87">
        <f t="array" ref="B119">IFERROR(IF(A119="","",INDEX('05_Theo_Doi_Gio_Cong_7_Ngay'!$B:$B,MATCH(118,'05_Theo_Doi_Gio_Cong_7_Ngay'!$O:$O,0))),"")</f>
      </c>
      <c r="C119" s="79">
        <f t="array" ref="C119">IFERROR(IF(A119="","",INDEX('05_Theo_Doi_Gio_Cong_7_Ngay'!$C:$C,MATCH(118,'05_Theo_Doi_Gio_Cong_7_Ngay'!$O:$O,0))),"")</f>
      </c>
      <c r="D119" s="80">
        <f t="array" ref="D119">IFERROR(IF(A119="","",INDEX('05_Theo_Doi_Gio_Cong_7_Ngay'!$D:$D,MATCH(118,'05_Theo_Doi_Gio_Cong_7_Ngay'!$O:$O,0))),"")</f>
      </c>
      <c r="E119" s="80">
        <f t="array" ref="E119">IFERROR(IF(B119="","",INDEX('02_DS_Nhan_Viec'!$G:$G,MATCH(B119,'02_DS_Nhan_Viec'!$J:$J,0))),"")</f>
      </c>
      <c r="F119" s="79">
        <f t="array" ref="F119">IFERROR(IF(B119="","",INDEX('02_DS_Nhan_Viec'!$H:$H,MATCH(B119,'02_DS_Nhan_Viec'!$J:$J,0))),"")</f>
      </c>
      <c r="G119" s="79">
        <f t="array" ref="G119">IFERROR(IF(B119="","",INDEX('02_DS_Nhan_Viec'!$I:$I,MATCH(B119,'02_DS_Nhan_Viec'!$J:$J,0))),"")</f>
      </c>
      <c r="H119" s="79">
        <f t="array" ref="H119">IF(B119="","",IFERROR(IF(INDEX('03_Ho_So_Nhan_Vien'!$M:$M,MATCH(B119,'03_Ho_So_Nhan_Vien'!$C:$C,0))=0,"",INDEX('03_Ho_So_Nhan_Vien'!$M:$M,MATCH(B119,'03_Ho_So_Nhan_Vien'!$C:$C,0))),""))</f>
      </c>
      <c r="I119" s="78"/>
      <c r="J119" s="78"/>
      <c r="K119" s="78"/>
    </row>
    <row r="120" ht="14.25" customHeight="1" spans="1:11" x14ac:dyDescent="0.25">
      <c r="A120" s="79">
        <f>IFERROR(IF(ISNUMBER(MATCH(119,'05_Theo_Doi_Gio_Cong_7_Ngay'!$O:$O,0)),119,""),"")</f>
      </c>
      <c r="B120" s="87">
        <f t="array" ref="B120">IFERROR(IF(A120="","",INDEX('05_Theo_Doi_Gio_Cong_7_Ngay'!$B:$B,MATCH(119,'05_Theo_Doi_Gio_Cong_7_Ngay'!$O:$O,0))),"")</f>
      </c>
      <c r="C120" s="79">
        <f t="array" ref="C120">IFERROR(IF(A120="","",INDEX('05_Theo_Doi_Gio_Cong_7_Ngay'!$C:$C,MATCH(119,'05_Theo_Doi_Gio_Cong_7_Ngay'!$O:$O,0))),"")</f>
      </c>
      <c r="D120" s="80">
        <f t="array" ref="D120">IFERROR(IF(A120="","",INDEX('05_Theo_Doi_Gio_Cong_7_Ngay'!$D:$D,MATCH(119,'05_Theo_Doi_Gio_Cong_7_Ngay'!$O:$O,0))),"")</f>
      </c>
      <c r="E120" s="80">
        <f t="array" ref="E120">IFERROR(IF(B120="","",INDEX('02_DS_Nhan_Viec'!$G:$G,MATCH(B120,'02_DS_Nhan_Viec'!$J:$J,0))),"")</f>
      </c>
      <c r="F120" s="79">
        <f t="array" ref="F120">IFERROR(IF(B120="","",INDEX('02_DS_Nhan_Viec'!$H:$H,MATCH(B120,'02_DS_Nhan_Viec'!$J:$J,0))),"")</f>
      </c>
      <c r="G120" s="79">
        <f t="array" ref="G120">IFERROR(IF(B120="","",INDEX('02_DS_Nhan_Viec'!$I:$I,MATCH(B120,'02_DS_Nhan_Viec'!$J:$J,0))),"")</f>
      </c>
      <c r="H120" s="79">
        <f t="array" ref="H120">IF(B120="","",IFERROR(IF(INDEX('03_Ho_So_Nhan_Vien'!$M:$M,MATCH(B120,'03_Ho_So_Nhan_Vien'!$C:$C,0))=0,"",INDEX('03_Ho_So_Nhan_Vien'!$M:$M,MATCH(B120,'03_Ho_So_Nhan_Vien'!$C:$C,0))),""))</f>
      </c>
      <c r="I120" s="78"/>
      <c r="J120" s="78"/>
      <c r="K120" s="78"/>
    </row>
    <row r="121" ht="14.25" customHeight="1" spans="1:11" x14ac:dyDescent="0.25">
      <c r="A121" s="79">
        <f>IFERROR(IF(ISNUMBER(MATCH(120,'05_Theo_Doi_Gio_Cong_7_Ngay'!$O:$O,0)),120,""),"")</f>
      </c>
      <c r="B121" s="87">
        <f t="array" ref="B121">IFERROR(IF(A121="","",INDEX('05_Theo_Doi_Gio_Cong_7_Ngay'!$B:$B,MATCH(120,'05_Theo_Doi_Gio_Cong_7_Ngay'!$O:$O,0))),"")</f>
      </c>
      <c r="C121" s="79">
        <f t="array" ref="C121">IFERROR(IF(A121="","",INDEX('05_Theo_Doi_Gio_Cong_7_Ngay'!$C:$C,MATCH(120,'05_Theo_Doi_Gio_Cong_7_Ngay'!$O:$O,0))),"")</f>
      </c>
      <c r="D121" s="80">
        <f t="array" ref="D121">IFERROR(IF(A121="","",INDEX('05_Theo_Doi_Gio_Cong_7_Ngay'!$D:$D,MATCH(120,'05_Theo_Doi_Gio_Cong_7_Ngay'!$O:$O,0))),"")</f>
      </c>
      <c r="E121" s="80">
        <f t="array" ref="E121">IFERROR(IF(B121="","",INDEX('02_DS_Nhan_Viec'!$G:$G,MATCH(B121,'02_DS_Nhan_Viec'!$J:$J,0))),"")</f>
      </c>
      <c r="F121" s="79">
        <f t="array" ref="F121">IFERROR(IF(B121="","",INDEX('02_DS_Nhan_Viec'!$H:$H,MATCH(B121,'02_DS_Nhan_Viec'!$J:$J,0))),"")</f>
      </c>
      <c r="G121" s="79">
        <f t="array" ref="G121">IFERROR(IF(B121="","",INDEX('02_DS_Nhan_Viec'!$I:$I,MATCH(B121,'02_DS_Nhan_Viec'!$J:$J,0))),"")</f>
      </c>
      <c r="H121" s="79">
        <f t="array" ref="H121">IF(B121="","",IFERROR(IF(INDEX('03_Ho_So_Nhan_Vien'!$M:$M,MATCH(B121,'03_Ho_So_Nhan_Vien'!$C:$C,0))=0,"",INDEX('03_Ho_So_Nhan_Vien'!$M:$M,MATCH(B121,'03_Ho_So_Nhan_Vien'!$C:$C,0))),""))</f>
      </c>
      <c r="I121" s="78"/>
      <c r="J121" s="78"/>
      <c r="K121" s="78"/>
    </row>
    <row r="122" ht="14.25" customHeight="1" spans="1:11" x14ac:dyDescent="0.25">
      <c r="A122" s="79">
        <f>IFERROR(IF(ISNUMBER(MATCH(121,'05_Theo_Doi_Gio_Cong_7_Ngay'!$O:$O,0)),121,""),"")</f>
      </c>
      <c r="B122" s="87">
        <f t="array" ref="B122">IFERROR(IF(A122="","",INDEX('05_Theo_Doi_Gio_Cong_7_Ngay'!$B:$B,MATCH(121,'05_Theo_Doi_Gio_Cong_7_Ngay'!$O:$O,0))),"")</f>
      </c>
      <c r="C122" s="79">
        <f t="array" ref="C122">IFERROR(IF(A122="","",INDEX('05_Theo_Doi_Gio_Cong_7_Ngay'!$C:$C,MATCH(121,'05_Theo_Doi_Gio_Cong_7_Ngay'!$O:$O,0))),"")</f>
      </c>
      <c r="D122" s="80">
        <f t="array" ref="D122">IFERROR(IF(A122="","",INDEX('05_Theo_Doi_Gio_Cong_7_Ngay'!$D:$D,MATCH(121,'05_Theo_Doi_Gio_Cong_7_Ngay'!$O:$O,0))),"")</f>
      </c>
      <c r="E122" s="80">
        <f t="array" ref="E122">IFERROR(IF(B122="","",INDEX('02_DS_Nhan_Viec'!$G:$G,MATCH(B122,'02_DS_Nhan_Viec'!$J:$J,0))),"")</f>
      </c>
      <c r="F122" s="79">
        <f t="array" ref="F122">IFERROR(IF(B122="","",INDEX('02_DS_Nhan_Viec'!$H:$H,MATCH(B122,'02_DS_Nhan_Viec'!$J:$J,0))),"")</f>
      </c>
      <c r="G122" s="79">
        <f t="array" ref="G122">IFERROR(IF(B122="","",INDEX('02_DS_Nhan_Viec'!$I:$I,MATCH(B122,'02_DS_Nhan_Viec'!$J:$J,0))),"")</f>
      </c>
      <c r="H122" s="79">
        <f t="array" ref="H122">IF(B122="","",IFERROR(IF(INDEX('03_Ho_So_Nhan_Vien'!$M:$M,MATCH(B122,'03_Ho_So_Nhan_Vien'!$C:$C,0))=0,"",INDEX('03_Ho_So_Nhan_Vien'!$M:$M,MATCH(B122,'03_Ho_So_Nhan_Vien'!$C:$C,0))),""))</f>
      </c>
      <c r="I122" s="78"/>
      <c r="J122" s="78"/>
      <c r="K122" s="78"/>
    </row>
    <row r="123" ht="14.25" customHeight="1" spans="1:11" x14ac:dyDescent="0.25">
      <c r="A123" s="79">
        <f>IFERROR(IF(ISNUMBER(MATCH(122,'05_Theo_Doi_Gio_Cong_7_Ngay'!$O:$O,0)),122,""),"")</f>
      </c>
      <c r="B123" s="87">
        <f t="array" ref="B123">IFERROR(IF(A123="","",INDEX('05_Theo_Doi_Gio_Cong_7_Ngay'!$B:$B,MATCH(122,'05_Theo_Doi_Gio_Cong_7_Ngay'!$O:$O,0))),"")</f>
      </c>
      <c r="C123" s="79">
        <f t="array" ref="C123">IFERROR(IF(A123="","",INDEX('05_Theo_Doi_Gio_Cong_7_Ngay'!$C:$C,MATCH(122,'05_Theo_Doi_Gio_Cong_7_Ngay'!$O:$O,0))),"")</f>
      </c>
      <c r="D123" s="80">
        <f t="array" ref="D123">IFERROR(IF(A123="","",INDEX('05_Theo_Doi_Gio_Cong_7_Ngay'!$D:$D,MATCH(122,'05_Theo_Doi_Gio_Cong_7_Ngay'!$O:$O,0))),"")</f>
      </c>
      <c r="E123" s="80">
        <f t="array" ref="E123">IFERROR(IF(B123="","",INDEX('02_DS_Nhan_Viec'!$G:$G,MATCH(B123,'02_DS_Nhan_Viec'!$J:$J,0))),"")</f>
      </c>
      <c r="F123" s="79">
        <f t="array" ref="F123">IFERROR(IF(B123="","",INDEX('02_DS_Nhan_Viec'!$H:$H,MATCH(B123,'02_DS_Nhan_Viec'!$J:$J,0))),"")</f>
      </c>
      <c r="G123" s="79">
        <f t="array" ref="G123">IFERROR(IF(B123="","",INDEX('02_DS_Nhan_Viec'!$I:$I,MATCH(B123,'02_DS_Nhan_Viec'!$J:$J,0))),"")</f>
      </c>
      <c r="H123" s="79">
        <f t="array" ref="H123">IF(B123="","",IFERROR(IF(INDEX('03_Ho_So_Nhan_Vien'!$M:$M,MATCH(B123,'03_Ho_So_Nhan_Vien'!$C:$C,0))=0,"",INDEX('03_Ho_So_Nhan_Vien'!$M:$M,MATCH(B123,'03_Ho_So_Nhan_Vien'!$C:$C,0))),""))</f>
      </c>
      <c r="I123" s="78"/>
      <c r="J123" s="78"/>
      <c r="K123" s="78"/>
    </row>
    <row r="124" ht="14.25" customHeight="1" spans="1:11" x14ac:dyDescent="0.25">
      <c r="A124" s="79">
        <f>IFERROR(IF(ISNUMBER(MATCH(123,'05_Theo_Doi_Gio_Cong_7_Ngay'!$O:$O,0)),123,""),"")</f>
      </c>
      <c r="B124" s="87">
        <f t="array" ref="B124">IFERROR(IF(A124="","",INDEX('05_Theo_Doi_Gio_Cong_7_Ngay'!$B:$B,MATCH(123,'05_Theo_Doi_Gio_Cong_7_Ngay'!$O:$O,0))),"")</f>
      </c>
      <c r="C124" s="79">
        <f t="array" ref="C124">IFERROR(IF(A124="","",INDEX('05_Theo_Doi_Gio_Cong_7_Ngay'!$C:$C,MATCH(123,'05_Theo_Doi_Gio_Cong_7_Ngay'!$O:$O,0))),"")</f>
      </c>
      <c r="D124" s="80">
        <f t="array" ref="D124">IFERROR(IF(A124="","",INDEX('05_Theo_Doi_Gio_Cong_7_Ngay'!$D:$D,MATCH(123,'05_Theo_Doi_Gio_Cong_7_Ngay'!$O:$O,0))),"")</f>
      </c>
      <c r="E124" s="80">
        <f t="array" ref="E124">IFERROR(IF(B124="","",INDEX('02_DS_Nhan_Viec'!$G:$G,MATCH(B124,'02_DS_Nhan_Viec'!$J:$J,0))),"")</f>
      </c>
      <c r="F124" s="79">
        <f t="array" ref="F124">IFERROR(IF(B124="","",INDEX('02_DS_Nhan_Viec'!$H:$H,MATCH(B124,'02_DS_Nhan_Viec'!$J:$J,0))),"")</f>
      </c>
      <c r="G124" s="79">
        <f t="array" ref="G124">IFERROR(IF(B124="","",INDEX('02_DS_Nhan_Viec'!$I:$I,MATCH(B124,'02_DS_Nhan_Viec'!$J:$J,0))),"")</f>
      </c>
      <c r="H124" s="79">
        <f t="array" ref="H124">IF(B124="","",IFERROR(IF(INDEX('03_Ho_So_Nhan_Vien'!$M:$M,MATCH(B124,'03_Ho_So_Nhan_Vien'!$C:$C,0))=0,"",INDEX('03_Ho_So_Nhan_Vien'!$M:$M,MATCH(B124,'03_Ho_So_Nhan_Vien'!$C:$C,0))),""))</f>
      </c>
      <c r="I124" s="78"/>
      <c r="J124" s="78"/>
      <c r="K124" s="78"/>
    </row>
    <row r="125" ht="14.25" customHeight="1" spans="1:11" x14ac:dyDescent="0.25">
      <c r="A125" s="79">
        <f>IFERROR(IF(ISNUMBER(MATCH(124,'05_Theo_Doi_Gio_Cong_7_Ngay'!$O:$O,0)),124,""),"")</f>
      </c>
      <c r="B125" s="87">
        <f t="array" ref="B125">IFERROR(IF(A125="","",INDEX('05_Theo_Doi_Gio_Cong_7_Ngay'!$B:$B,MATCH(124,'05_Theo_Doi_Gio_Cong_7_Ngay'!$O:$O,0))),"")</f>
      </c>
      <c r="C125" s="79">
        <f t="array" ref="C125">IFERROR(IF(A125="","",INDEX('05_Theo_Doi_Gio_Cong_7_Ngay'!$C:$C,MATCH(124,'05_Theo_Doi_Gio_Cong_7_Ngay'!$O:$O,0))),"")</f>
      </c>
      <c r="D125" s="80">
        <f t="array" ref="D125">IFERROR(IF(A125="","",INDEX('05_Theo_Doi_Gio_Cong_7_Ngay'!$D:$D,MATCH(124,'05_Theo_Doi_Gio_Cong_7_Ngay'!$O:$O,0))),"")</f>
      </c>
      <c r="E125" s="80">
        <f t="array" ref="E125">IFERROR(IF(B125="","",INDEX('02_DS_Nhan_Viec'!$G:$G,MATCH(B125,'02_DS_Nhan_Viec'!$J:$J,0))),"")</f>
      </c>
      <c r="F125" s="79">
        <f t="array" ref="F125">IFERROR(IF(B125="","",INDEX('02_DS_Nhan_Viec'!$H:$H,MATCH(B125,'02_DS_Nhan_Viec'!$J:$J,0))),"")</f>
      </c>
      <c r="G125" s="79">
        <f t="array" ref="G125">IFERROR(IF(B125="","",INDEX('02_DS_Nhan_Viec'!$I:$I,MATCH(B125,'02_DS_Nhan_Viec'!$J:$J,0))),"")</f>
      </c>
      <c r="H125" s="79">
        <f t="array" ref="H125">IF(B125="","",IFERROR(IF(INDEX('03_Ho_So_Nhan_Vien'!$M:$M,MATCH(B125,'03_Ho_So_Nhan_Vien'!$C:$C,0))=0,"",INDEX('03_Ho_So_Nhan_Vien'!$M:$M,MATCH(B125,'03_Ho_So_Nhan_Vien'!$C:$C,0))),""))</f>
      </c>
      <c r="I125" s="78"/>
      <c r="J125" s="78"/>
      <c r="K125" s="78"/>
    </row>
    <row r="126" ht="14.25" customHeight="1" spans="1:11" x14ac:dyDescent="0.25">
      <c r="A126" s="79">
        <f>IFERROR(IF(ISNUMBER(MATCH(125,'05_Theo_Doi_Gio_Cong_7_Ngay'!$O:$O,0)),125,""),"")</f>
      </c>
      <c r="B126" s="87">
        <f t="array" ref="B126">IFERROR(IF(A126="","",INDEX('05_Theo_Doi_Gio_Cong_7_Ngay'!$B:$B,MATCH(125,'05_Theo_Doi_Gio_Cong_7_Ngay'!$O:$O,0))),"")</f>
      </c>
      <c r="C126" s="79">
        <f t="array" ref="C126">IFERROR(IF(A126="","",INDEX('05_Theo_Doi_Gio_Cong_7_Ngay'!$C:$C,MATCH(125,'05_Theo_Doi_Gio_Cong_7_Ngay'!$O:$O,0))),"")</f>
      </c>
      <c r="D126" s="80">
        <f t="array" ref="D126">IFERROR(IF(A126="","",INDEX('05_Theo_Doi_Gio_Cong_7_Ngay'!$D:$D,MATCH(125,'05_Theo_Doi_Gio_Cong_7_Ngay'!$O:$O,0))),"")</f>
      </c>
      <c r="E126" s="80">
        <f t="array" ref="E126">IFERROR(IF(B126="","",INDEX('02_DS_Nhan_Viec'!$G:$G,MATCH(B126,'02_DS_Nhan_Viec'!$J:$J,0))),"")</f>
      </c>
      <c r="F126" s="79">
        <f t="array" ref="F126">IFERROR(IF(B126="","",INDEX('02_DS_Nhan_Viec'!$H:$H,MATCH(B126,'02_DS_Nhan_Viec'!$J:$J,0))),"")</f>
      </c>
      <c r="G126" s="79">
        <f t="array" ref="G126">IFERROR(IF(B126="","",INDEX('02_DS_Nhan_Viec'!$I:$I,MATCH(B126,'02_DS_Nhan_Viec'!$J:$J,0))),"")</f>
      </c>
      <c r="H126" s="79">
        <f t="array" ref="H126">IF(B126="","",IFERROR(IF(INDEX('03_Ho_So_Nhan_Vien'!$M:$M,MATCH(B126,'03_Ho_So_Nhan_Vien'!$C:$C,0))=0,"",INDEX('03_Ho_So_Nhan_Vien'!$M:$M,MATCH(B126,'03_Ho_So_Nhan_Vien'!$C:$C,0))),""))</f>
      </c>
      <c r="I126" s="78"/>
      <c r="J126" s="78"/>
      <c r="K126" s="78"/>
    </row>
    <row r="127" ht="14.25" customHeight="1" spans="1:11" x14ac:dyDescent="0.25">
      <c r="A127" s="79">
        <f>IFERROR(IF(ISNUMBER(MATCH(126,'05_Theo_Doi_Gio_Cong_7_Ngay'!$O:$O,0)),126,""),"")</f>
      </c>
      <c r="B127" s="87">
        <f t="array" ref="B127">IFERROR(IF(A127="","",INDEX('05_Theo_Doi_Gio_Cong_7_Ngay'!$B:$B,MATCH(126,'05_Theo_Doi_Gio_Cong_7_Ngay'!$O:$O,0))),"")</f>
      </c>
      <c r="C127" s="79">
        <f t="array" ref="C127">IFERROR(IF(A127="","",INDEX('05_Theo_Doi_Gio_Cong_7_Ngay'!$C:$C,MATCH(126,'05_Theo_Doi_Gio_Cong_7_Ngay'!$O:$O,0))),"")</f>
      </c>
      <c r="D127" s="80">
        <f t="array" ref="D127">IFERROR(IF(A127="","",INDEX('05_Theo_Doi_Gio_Cong_7_Ngay'!$D:$D,MATCH(126,'05_Theo_Doi_Gio_Cong_7_Ngay'!$O:$O,0))),"")</f>
      </c>
      <c r="E127" s="80">
        <f t="array" ref="E127">IFERROR(IF(B127="","",INDEX('02_DS_Nhan_Viec'!$G:$G,MATCH(B127,'02_DS_Nhan_Viec'!$J:$J,0))),"")</f>
      </c>
      <c r="F127" s="79">
        <f t="array" ref="F127">IFERROR(IF(B127="","",INDEX('02_DS_Nhan_Viec'!$H:$H,MATCH(B127,'02_DS_Nhan_Viec'!$J:$J,0))),"")</f>
      </c>
      <c r="G127" s="79">
        <f t="array" ref="G127">IFERROR(IF(B127="","",INDEX('02_DS_Nhan_Viec'!$I:$I,MATCH(B127,'02_DS_Nhan_Viec'!$J:$J,0))),"")</f>
      </c>
      <c r="H127" s="79">
        <f t="array" ref="H127">IF(B127="","",IFERROR(IF(INDEX('03_Ho_So_Nhan_Vien'!$M:$M,MATCH(B127,'03_Ho_So_Nhan_Vien'!$C:$C,0))=0,"",INDEX('03_Ho_So_Nhan_Vien'!$M:$M,MATCH(B127,'03_Ho_So_Nhan_Vien'!$C:$C,0))),""))</f>
      </c>
      <c r="I127" s="78"/>
      <c r="J127" s="78"/>
      <c r="K127" s="78"/>
    </row>
    <row r="128" ht="14.25" customHeight="1" spans="1:11" x14ac:dyDescent="0.25">
      <c r="A128" s="79">
        <f>IFERROR(IF(ISNUMBER(MATCH(127,'05_Theo_Doi_Gio_Cong_7_Ngay'!$O:$O,0)),127,""),"")</f>
      </c>
      <c r="B128" s="87">
        <f t="array" ref="B128">IFERROR(IF(A128="","",INDEX('05_Theo_Doi_Gio_Cong_7_Ngay'!$B:$B,MATCH(127,'05_Theo_Doi_Gio_Cong_7_Ngay'!$O:$O,0))),"")</f>
      </c>
      <c r="C128" s="79">
        <f t="array" ref="C128">IFERROR(IF(A128="","",INDEX('05_Theo_Doi_Gio_Cong_7_Ngay'!$C:$C,MATCH(127,'05_Theo_Doi_Gio_Cong_7_Ngay'!$O:$O,0))),"")</f>
      </c>
      <c r="D128" s="80">
        <f t="array" ref="D128">IFERROR(IF(A128="","",INDEX('05_Theo_Doi_Gio_Cong_7_Ngay'!$D:$D,MATCH(127,'05_Theo_Doi_Gio_Cong_7_Ngay'!$O:$O,0))),"")</f>
      </c>
      <c r="E128" s="80">
        <f t="array" ref="E128">IFERROR(IF(B128="","",INDEX('02_DS_Nhan_Viec'!$G:$G,MATCH(B128,'02_DS_Nhan_Viec'!$J:$J,0))),"")</f>
      </c>
      <c r="F128" s="79">
        <f t="array" ref="F128">IFERROR(IF(B128="","",INDEX('02_DS_Nhan_Viec'!$H:$H,MATCH(B128,'02_DS_Nhan_Viec'!$J:$J,0))),"")</f>
      </c>
      <c r="G128" s="79">
        <f t="array" ref="G128">IFERROR(IF(B128="","",INDEX('02_DS_Nhan_Viec'!$I:$I,MATCH(B128,'02_DS_Nhan_Viec'!$J:$J,0))),"")</f>
      </c>
      <c r="H128" s="79">
        <f t="array" ref="H128">IF(B128="","",IFERROR(IF(INDEX('03_Ho_So_Nhan_Vien'!$M:$M,MATCH(B128,'03_Ho_So_Nhan_Vien'!$C:$C,0))=0,"",INDEX('03_Ho_So_Nhan_Vien'!$M:$M,MATCH(B128,'03_Ho_So_Nhan_Vien'!$C:$C,0))),""))</f>
      </c>
      <c r="I128" s="78"/>
      <c r="J128" s="78"/>
      <c r="K128" s="78"/>
    </row>
    <row r="129" ht="14.25" customHeight="1" spans="1:11" x14ac:dyDescent="0.25">
      <c r="A129" s="79">
        <f>IFERROR(IF(ISNUMBER(MATCH(128,'05_Theo_Doi_Gio_Cong_7_Ngay'!$O:$O,0)),128,""),"")</f>
      </c>
      <c r="B129" s="87">
        <f t="array" ref="B129">IFERROR(IF(A129="","",INDEX('05_Theo_Doi_Gio_Cong_7_Ngay'!$B:$B,MATCH(128,'05_Theo_Doi_Gio_Cong_7_Ngay'!$O:$O,0))),"")</f>
      </c>
      <c r="C129" s="79">
        <f t="array" ref="C129">IFERROR(IF(A129="","",INDEX('05_Theo_Doi_Gio_Cong_7_Ngay'!$C:$C,MATCH(128,'05_Theo_Doi_Gio_Cong_7_Ngay'!$O:$O,0))),"")</f>
      </c>
      <c r="D129" s="80">
        <f t="array" ref="D129">IFERROR(IF(A129="","",INDEX('05_Theo_Doi_Gio_Cong_7_Ngay'!$D:$D,MATCH(128,'05_Theo_Doi_Gio_Cong_7_Ngay'!$O:$O,0))),"")</f>
      </c>
      <c r="E129" s="80">
        <f t="array" ref="E129">IFERROR(IF(B129="","",INDEX('02_DS_Nhan_Viec'!$G:$G,MATCH(B129,'02_DS_Nhan_Viec'!$J:$J,0))),"")</f>
      </c>
      <c r="F129" s="79">
        <f t="array" ref="F129">IFERROR(IF(B129="","",INDEX('02_DS_Nhan_Viec'!$H:$H,MATCH(B129,'02_DS_Nhan_Viec'!$J:$J,0))),"")</f>
      </c>
      <c r="G129" s="79">
        <f t="array" ref="G129">IFERROR(IF(B129="","",INDEX('02_DS_Nhan_Viec'!$I:$I,MATCH(B129,'02_DS_Nhan_Viec'!$J:$J,0))),"")</f>
      </c>
      <c r="H129" s="79">
        <f t="array" ref="H129">IF(B129="","",IFERROR(IF(INDEX('03_Ho_So_Nhan_Vien'!$M:$M,MATCH(B129,'03_Ho_So_Nhan_Vien'!$C:$C,0))=0,"",INDEX('03_Ho_So_Nhan_Vien'!$M:$M,MATCH(B129,'03_Ho_So_Nhan_Vien'!$C:$C,0))),""))</f>
      </c>
      <c r="I129" s="78"/>
      <c r="J129" s="78"/>
      <c r="K129" s="78"/>
    </row>
    <row r="130" ht="14.25" customHeight="1" spans="1:11" x14ac:dyDescent="0.25">
      <c r="A130" s="79">
        <f>IFERROR(IF(ISNUMBER(MATCH(129,'05_Theo_Doi_Gio_Cong_7_Ngay'!$O:$O,0)),129,""),"")</f>
      </c>
      <c r="B130" s="87">
        <f t="array" ref="B130">IFERROR(IF(A130="","",INDEX('05_Theo_Doi_Gio_Cong_7_Ngay'!$B:$B,MATCH(129,'05_Theo_Doi_Gio_Cong_7_Ngay'!$O:$O,0))),"")</f>
      </c>
      <c r="C130" s="79">
        <f t="array" ref="C130">IFERROR(IF(A130="","",INDEX('05_Theo_Doi_Gio_Cong_7_Ngay'!$C:$C,MATCH(129,'05_Theo_Doi_Gio_Cong_7_Ngay'!$O:$O,0))),"")</f>
      </c>
      <c r="D130" s="80">
        <f t="array" ref="D130">IFERROR(IF(A130="","",INDEX('05_Theo_Doi_Gio_Cong_7_Ngay'!$D:$D,MATCH(129,'05_Theo_Doi_Gio_Cong_7_Ngay'!$O:$O,0))),"")</f>
      </c>
      <c r="E130" s="80">
        <f t="array" ref="E130">IFERROR(IF(B130="","",INDEX('02_DS_Nhan_Viec'!$G:$G,MATCH(B130,'02_DS_Nhan_Viec'!$J:$J,0))),"")</f>
      </c>
      <c r="F130" s="79">
        <f t="array" ref="F130">IFERROR(IF(B130="","",INDEX('02_DS_Nhan_Viec'!$H:$H,MATCH(B130,'02_DS_Nhan_Viec'!$J:$J,0))),"")</f>
      </c>
      <c r="G130" s="79">
        <f t="array" ref="G130">IFERROR(IF(B130="","",INDEX('02_DS_Nhan_Viec'!$I:$I,MATCH(B130,'02_DS_Nhan_Viec'!$J:$J,0))),"")</f>
      </c>
      <c r="H130" s="79">
        <f t="array" ref="H130">IF(B130="","",IFERROR(IF(INDEX('03_Ho_So_Nhan_Vien'!$M:$M,MATCH(B130,'03_Ho_So_Nhan_Vien'!$C:$C,0))=0,"",INDEX('03_Ho_So_Nhan_Vien'!$M:$M,MATCH(B130,'03_Ho_So_Nhan_Vien'!$C:$C,0))),""))</f>
      </c>
      <c r="I130" s="78"/>
      <c r="J130" s="78"/>
      <c r="K130" s="78"/>
    </row>
    <row r="131" ht="14.25" customHeight="1" spans="1:11" x14ac:dyDescent="0.25">
      <c r="A131" s="79">
        <f>IFERROR(IF(ISNUMBER(MATCH(130,'05_Theo_Doi_Gio_Cong_7_Ngay'!$O:$O,0)),130,""),"")</f>
      </c>
      <c r="B131" s="87">
        <f t="array" ref="B131">IFERROR(IF(A131="","",INDEX('05_Theo_Doi_Gio_Cong_7_Ngay'!$B:$B,MATCH(130,'05_Theo_Doi_Gio_Cong_7_Ngay'!$O:$O,0))),"")</f>
      </c>
      <c r="C131" s="79">
        <f t="array" ref="C131">IFERROR(IF(A131="","",INDEX('05_Theo_Doi_Gio_Cong_7_Ngay'!$C:$C,MATCH(130,'05_Theo_Doi_Gio_Cong_7_Ngay'!$O:$O,0))),"")</f>
      </c>
      <c r="D131" s="80">
        <f t="array" ref="D131">IFERROR(IF(A131="","",INDEX('05_Theo_Doi_Gio_Cong_7_Ngay'!$D:$D,MATCH(130,'05_Theo_Doi_Gio_Cong_7_Ngay'!$O:$O,0))),"")</f>
      </c>
      <c r="E131" s="80">
        <f t="array" ref="E131">IFERROR(IF(B131="","",INDEX('02_DS_Nhan_Viec'!$G:$G,MATCH(B131,'02_DS_Nhan_Viec'!$J:$J,0))),"")</f>
      </c>
      <c r="F131" s="79">
        <f t="array" ref="F131">IFERROR(IF(B131="","",INDEX('02_DS_Nhan_Viec'!$H:$H,MATCH(B131,'02_DS_Nhan_Viec'!$J:$J,0))),"")</f>
      </c>
      <c r="G131" s="79">
        <f t="array" ref="G131">IFERROR(IF(B131="","",INDEX('02_DS_Nhan_Viec'!$I:$I,MATCH(B131,'02_DS_Nhan_Viec'!$J:$J,0))),"")</f>
      </c>
      <c r="H131" s="79">
        <f t="array" ref="H131">IF(B131="","",IFERROR(IF(INDEX('03_Ho_So_Nhan_Vien'!$M:$M,MATCH(B131,'03_Ho_So_Nhan_Vien'!$C:$C,0))=0,"",INDEX('03_Ho_So_Nhan_Vien'!$M:$M,MATCH(B131,'03_Ho_So_Nhan_Vien'!$C:$C,0))),""))</f>
      </c>
      <c r="I131" s="78"/>
      <c r="J131" s="78"/>
      <c r="K131" s="78"/>
    </row>
    <row r="132" ht="14.25" customHeight="1" spans="1:11" x14ac:dyDescent="0.25">
      <c r="A132" s="79">
        <f>IFERROR(IF(ISNUMBER(MATCH(131,'05_Theo_Doi_Gio_Cong_7_Ngay'!$O:$O,0)),131,""),"")</f>
      </c>
      <c r="B132" s="87">
        <f t="array" ref="B132">IFERROR(IF(A132="","",INDEX('05_Theo_Doi_Gio_Cong_7_Ngay'!$B:$B,MATCH(131,'05_Theo_Doi_Gio_Cong_7_Ngay'!$O:$O,0))),"")</f>
      </c>
      <c r="C132" s="79">
        <f t="array" ref="C132">IFERROR(IF(A132="","",INDEX('05_Theo_Doi_Gio_Cong_7_Ngay'!$C:$C,MATCH(131,'05_Theo_Doi_Gio_Cong_7_Ngay'!$O:$O,0))),"")</f>
      </c>
      <c r="D132" s="80">
        <f t="array" ref="D132">IFERROR(IF(A132="","",INDEX('05_Theo_Doi_Gio_Cong_7_Ngay'!$D:$D,MATCH(131,'05_Theo_Doi_Gio_Cong_7_Ngay'!$O:$O,0))),"")</f>
      </c>
      <c r="E132" s="80">
        <f t="array" ref="E132">IFERROR(IF(B132="","",INDEX('02_DS_Nhan_Viec'!$G:$G,MATCH(B132,'02_DS_Nhan_Viec'!$J:$J,0))),"")</f>
      </c>
      <c r="F132" s="79">
        <f t="array" ref="F132">IFERROR(IF(B132="","",INDEX('02_DS_Nhan_Viec'!$H:$H,MATCH(B132,'02_DS_Nhan_Viec'!$J:$J,0))),"")</f>
      </c>
      <c r="G132" s="79">
        <f t="array" ref="G132">IFERROR(IF(B132="","",INDEX('02_DS_Nhan_Viec'!$I:$I,MATCH(B132,'02_DS_Nhan_Viec'!$J:$J,0))),"")</f>
      </c>
      <c r="H132" s="79">
        <f t="array" ref="H132">IF(B132="","",IFERROR(IF(INDEX('03_Ho_So_Nhan_Vien'!$M:$M,MATCH(B132,'03_Ho_So_Nhan_Vien'!$C:$C,0))=0,"",INDEX('03_Ho_So_Nhan_Vien'!$M:$M,MATCH(B132,'03_Ho_So_Nhan_Vien'!$C:$C,0))),""))</f>
      </c>
      <c r="I132" s="78"/>
      <c r="J132" s="78"/>
      <c r="K132" s="78"/>
    </row>
    <row r="133" ht="14.25" customHeight="1" spans="1:11" x14ac:dyDescent="0.25">
      <c r="A133" s="79">
        <f>IFERROR(IF(ISNUMBER(MATCH(132,'05_Theo_Doi_Gio_Cong_7_Ngay'!$O:$O,0)),132,""),"")</f>
      </c>
      <c r="B133" s="87">
        <f t="array" ref="B133">IFERROR(IF(A133="","",INDEX('05_Theo_Doi_Gio_Cong_7_Ngay'!$B:$B,MATCH(132,'05_Theo_Doi_Gio_Cong_7_Ngay'!$O:$O,0))),"")</f>
      </c>
      <c r="C133" s="79">
        <f t="array" ref="C133">IFERROR(IF(A133="","",INDEX('05_Theo_Doi_Gio_Cong_7_Ngay'!$C:$C,MATCH(132,'05_Theo_Doi_Gio_Cong_7_Ngay'!$O:$O,0))),"")</f>
      </c>
      <c r="D133" s="80">
        <f t="array" ref="D133">IFERROR(IF(A133="","",INDEX('05_Theo_Doi_Gio_Cong_7_Ngay'!$D:$D,MATCH(132,'05_Theo_Doi_Gio_Cong_7_Ngay'!$O:$O,0))),"")</f>
      </c>
      <c r="E133" s="80">
        <f t="array" ref="E133">IFERROR(IF(B133="","",INDEX('02_DS_Nhan_Viec'!$G:$G,MATCH(B133,'02_DS_Nhan_Viec'!$J:$J,0))),"")</f>
      </c>
      <c r="F133" s="79">
        <f t="array" ref="F133">IFERROR(IF(B133="","",INDEX('02_DS_Nhan_Viec'!$H:$H,MATCH(B133,'02_DS_Nhan_Viec'!$J:$J,0))),"")</f>
      </c>
      <c r="G133" s="79">
        <f t="array" ref="G133">IFERROR(IF(B133="","",INDEX('02_DS_Nhan_Viec'!$I:$I,MATCH(B133,'02_DS_Nhan_Viec'!$J:$J,0))),"")</f>
      </c>
      <c r="H133" s="79">
        <f t="array" ref="H133">IF(B133="","",IFERROR(IF(INDEX('03_Ho_So_Nhan_Vien'!$M:$M,MATCH(B133,'03_Ho_So_Nhan_Vien'!$C:$C,0))=0,"",INDEX('03_Ho_So_Nhan_Vien'!$M:$M,MATCH(B133,'03_Ho_So_Nhan_Vien'!$C:$C,0))),""))</f>
      </c>
      <c r="I133" s="78"/>
      <c r="J133" s="78"/>
      <c r="K133" s="78"/>
    </row>
    <row r="134" ht="14.25" customHeight="1" spans="1:11" x14ac:dyDescent="0.25">
      <c r="A134" s="79">
        <f>IFERROR(IF(ISNUMBER(MATCH(133,'05_Theo_Doi_Gio_Cong_7_Ngay'!$O:$O,0)),133,""),"")</f>
      </c>
      <c r="B134" s="87">
        <f t="array" ref="B134">IFERROR(IF(A134="","",INDEX('05_Theo_Doi_Gio_Cong_7_Ngay'!$B:$B,MATCH(133,'05_Theo_Doi_Gio_Cong_7_Ngay'!$O:$O,0))),"")</f>
      </c>
      <c r="C134" s="79">
        <f t="array" ref="C134">IFERROR(IF(A134="","",INDEX('05_Theo_Doi_Gio_Cong_7_Ngay'!$C:$C,MATCH(133,'05_Theo_Doi_Gio_Cong_7_Ngay'!$O:$O,0))),"")</f>
      </c>
      <c r="D134" s="80">
        <f t="array" ref="D134">IFERROR(IF(A134="","",INDEX('05_Theo_Doi_Gio_Cong_7_Ngay'!$D:$D,MATCH(133,'05_Theo_Doi_Gio_Cong_7_Ngay'!$O:$O,0))),"")</f>
      </c>
      <c r="E134" s="80">
        <f t="array" ref="E134">IFERROR(IF(B134="","",INDEX('02_DS_Nhan_Viec'!$G:$G,MATCH(B134,'02_DS_Nhan_Viec'!$J:$J,0))),"")</f>
      </c>
      <c r="F134" s="79">
        <f t="array" ref="F134">IFERROR(IF(B134="","",INDEX('02_DS_Nhan_Viec'!$H:$H,MATCH(B134,'02_DS_Nhan_Viec'!$J:$J,0))),"")</f>
      </c>
      <c r="G134" s="79">
        <f t="array" ref="G134">IFERROR(IF(B134="","",INDEX('02_DS_Nhan_Viec'!$I:$I,MATCH(B134,'02_DS_Nhan_Viec'!$J:$J,0))),"")</f>
      </c>
      <c r="H134" s="79">
        <f t="array" ref="H134">IF(B134="","",IFERROR(IF(INDEX('03_Ho_So_Nhan_Vien'!$M:$M,MATCH(B134,'03_Ho_So_Nhan_Vien'!$C:$C,0))=0,"",INDEX('03_Ho_So_Nhan_Vien'!$M:$M,MATCH(B134,'03_Ho_So_Nhan_Vien'!$C:$C,0))),""))</f>
      </c>
      <c r="I134" s="78"/>
      <c r="J134" s="78"/>
      <c r="K134" s="78"/>
    </row>
    <row r="135" ht="14.25" customHeight="1" spans="1:11" x14ac:dyDescent="0.25">
      <c r="A135" s="79">
        <f>IFERROR(IF(ISNUMBER(MATCH(134,'05_Theo_Doi_Gio_Cong_7_Ngay'!$O:$O,0)),134,""),"")</f>
      </c>
      <c r="B135" s="87">
        <f t="array" ref="B135">IFERROR(IF(A135="","",INDEX('05_Theo_Doi_Gio_Cong_7_Ngay'!$B:$B,MATCH(134,'05_Theo_Doi_Gio_Cong_7_Ngay'!$O:$O,0))),"")</f>
      </c>
      <c r="C135" s="79">
        <f t="array" ref="C135">IFERROR(IF(A135="","",INDEX('05_Theo_Doi_Gio_Cong_7_Ngay'!$C:$C,MATCH(134,'05_Theo_Doi_Gio_Cong_7_Ngay'!$O:$O,0))),"")</f>
      </c>
      <c r="D135" s="80">
        <f t="array" ref="D135">IFERROR(IF(A135="","",INDEX('05_Theo_Doi_Gio_Cong_7_Ngay'!$D:$D,MATCH(134,'05_Theo_Doi_Gio_Cong_7_Ngay'!$O:$O,0))),"")</f>
      </c>
      <c r="E135" s="80">
        <f t="array" ref="E135">IFERROR(IF(B135="","",INDEX('02_DS_Nhan_Viec'!$G:$G,MATCH(B135,'02_DS_Nhan_Viec'!$J:$J,0))),"")</f>
      </c>
      <c r="F135" s="79">
        <f t="array" ref="F135">IFERROR(IF(B135="","",INDEX('02_DS_Nhan_Viec'!$H:$H,MATCH(B135,'02_DS_Nhan_Viec'!$J:$J,0))),"")</f>
      </c>
      <c r="G135" s="79">
        <f t="array" ref="G135">IFERROR(IF(B135="","",INDEX('02_DS_Nhan_Viec'!$I:$I,MATCH(B135,'02_DS_Nhan_Viec'!$J:$J,0))),"")</f>
      </c>
      <c r="H135" s="79">
        <f t="array" ref="H135">IF(B135="","",IFERROR(IF(INDEX('03_Ho_So_Nhan_Vien'!$M:$M,MATCH(B135,'03_Ho_So_Nhan_Vien'!$C:$C,0))=0,"",INDEX('03_Ho_So_Nhan_Vien'!$M:$M,MATCH(B135,'03_Ho_So_Nhan_Vien'!$C:$C,0))),""))</f>
      </c>
      <c r="I135" s="78"/>
      <c r="J135" s="78"/>
      <c r="K135" s="78"/>
    </row>
    <row r="136" ht="14.25" customHeight="1" spans="1:11" x14ac:dyDescent="0.25">
      <c r="A136" s="79">
        <f>IFERROR(IF(ISNUMBER(MATCH(135,'05_Theo_Doi_Gio_Cong_7_Ngay'!$O:$O,0)),135,""),"")</f>
      </c>
      <c r="B136" s="87">
        <f t="array" ref="B136">IFERROR(IF(A136="","",INDEX('05_Theo_Doi_Gio_Cong_7_Ngay'!$B:$B,MATCH(135,'05_Theo_Doi_Gio_Cong_7_Ngay'!$O:$O,0))),"")</f>
      </c>
      <c r="C136" s="79">
        <f t="array" ref="C136">IFERROR(IF(A136="","",INDEX('05_Theo_Doi_Gio_Cong_7_Ngay'!$C:$C,MATCH(135,'05_Theo_Doi_Gio_Cong_7_Ngay'!$O:$O,0))),"")</f>
      </c>
      <c r="D136" s="80">
        <f t="array" ref="D136">IFERROR(IF(A136="","",INDEX('05_Theo_Doi_Gio_Cong_7_Ngay'!$D:$D,MATCH(135,'05_Theo_Doi_Gio_Cong_7_Ngay'!$O:$O,0))),"")</f>
      </c>
      <c r="E136" s="80">
        <f t="array" ref="E136">IFERROR(IF(B136="","",INDEX('02_DS_Nhan_Viec'!$G:$G,MATCH(B136,'02_DS_Nhan_Viec'!$J:$J,0))),"")</f>
      </c>
      <c r="F136" s="79">
        <f t="array" ref="F136">IFERROR(IF(B136="","",INDEX('02_DS_Nhan_Viec'!$H:$H,MATCH(B136,'02_DS_Nhan_Viec'!$J:$J,0))),"")</f>
      </c>
      <c r="G136" s="79">
        <f t="array" ref="G136">IFERROR(IF(B136="","",INDEX('02_DS_Nhan_Viec'!$I:$I,MATCH(B136,'02_DS_Nhan_Viec'!$J:$J,0))),"")</f>
      </c>
      <c r="H136" s="79">
        <f t="array" ref="H136">IF(B136="","",IFERROR(IF(INDEX('03_Ho_So_Nhan_Vien'!$M:$M,MATCH(B136,'03_Ho_So_Nhan_Vien'!$C:$C,0))=0,"",INDEX('03_Ho_So_Nhan_Vien'!$M:$M,MATCH(B136,'03_Ho_So_Nhan_Vien'!$C:$C,0))),""))</f>
      </c>
      <c r="I136" s="78"/>
      <c r="J136" s="78"/>
      <c r="K136" s="78"/>
    </row>
    <row r="137" ht="14.25" customHeight="1" spans="1:11" x14ac:dyDescent="0.25">
      <c r="A137" s="79">
        <f>IFERROR(IF(ISNUMBER(MATCH(136,'05_Theo_Doi_Gio_Cong_7_Ngay'!$O:$O,0)),136,""),"")</f>
      </c>
      <c r="B137" s="87">
        <f t="array" ref="B137">IFERROR(IF(A137="","",INDEX('05_Theo_Doi_Gio_Cong_7_Ngay'!$B:$B,MATCH(136,'05_Theo_Doi_Gio_Cong_7_Ngay'!$O:$O,0))),"")</f>
      </c>
      <c r="C137" s="79">
        <f t="array" ref="C137">IFERROR(IF(A137="","",INDEX('05_Theo_Doi_Gio_Cong_7_Ngay'!$C:$C,MATCH(136,'05_Theo_Doi_Gio_Cong_7_Ngay'!$O:$O,0))),"")</f>
      </c>
      <c r="D137" s="80">
        <f t="array" ref="D137">IFERROR(IF(A137="","",INDEX('05_Theo_Doi_Gio_Cong_7_Ngay'!$D:$D,MATCH(136,'05_Theo_Doi_Gio_Cong_7_Ngay'!$O:$O,0))),"")</f>
      </c>
      <c r="E137" s="80">
        <f t="array" ref="E137">IFERROR(IF(B137="","",INDEX('02_DS_Nhan_Viec'!$G:$G,MATCH(B137,'02_DS_Nhan_Viec'!$J:$J,0))),"")</f>
      </c>
      <c r="F137" s="79">
        <f t="array" ref="F137">IFERROR(IF(B137="","",INDEX('02_DS_Nhan_Viec'!$H:$H,MATCH(B137,'02_DS_Nhan_Viec'!$J:$J,0))),"")</f>
      </c>
      <c r="G137" s="79">
        <f t="array" ref="G137">IFERROR(IF(B137="","",INDEX('02_DS_Nhan_Viec'!$I:$I,MATCH(B137,'02_DS_Nhan_Viec'!$J:$J,0))),"")</f>
      </c>
      <c r="H137" s="79">
        <f t="array" ref="H137">IF(B137="","",IFERROR(IF(INDEX('03_Ho_So_Nhan_Vien'!$M:$M,MATCH(B137,'03_Ho_So_Nhan_Vien'!$C:$C,0))=0,"",INDEX('03_Ho_So_Nhan_Vien'!$M:$M,MATCH(B137,'03_Ho_So_Nhan_Vien'!$C:$C,0))),""))</f>
      </c>
      <c r="I137" s="78"/>
      <c r="J137" s="78"/>
      <c r="K137" s="78"/>
    </row>
    <row r="138" ht="14.25" customHeight="1" spans="1:11" x14ac:dyDescent="0.25">
      <c r="A138" s="79">
        <f>IFERROR(IF(ISNUMBER(MATCH(137,'05_Theo_Doi_Gio_Cong_7_Ngay'!$O:$O,0)),137,""),"")</f>
      </c>
      <c r="B138" s="87">
        <f t="array" ref="B138">IFERROR(IF(A138="","",INDEX('05_Theo_Doi_Gio_Cong_7_Ngay'!$B:$B,MATCH(137,'05_Theo_Doi_Gio_Cong_7_Ngay'!$O:$O,0))),"")</f>
      </c>
      <c r="C138" s="79">
        <f t="array" ref="C138">IFERROR(IF(A138="","",INDEX('05_Theo_Doi_Gio_Cong_7_Ngay'!$C:$C,MATCH(137,'05_Theo_Doi_Gio_Cong_7_Ngay'!$O:$O,0))),"")</f>
      </c>
      <c r="D138" s="80">
        <f t="array" ref="D138">IFERROR(IF(A138="","",INDEX('05_Theo_Doi_Gio_Cong_7_Ngay'!$D:$D,MATCH(137,'05_Theo_Doi_Gio_Cong_7_Ngay'!$O:$O,0))),"")</f>
      </c>
      <c r="E138" s="80">
        <f t="array" ref="E138">IFERROR(IF(B138="","",INDEX('02_DS_Nhan_Viec'!$G:$G,MATCH(B138,'02_DS_Nhan_Viec'!$J:$J,0))),"")</f>
      </c>
      <c r="F138" s="79">
        <f t="array" ref="F138">IFERROR(IF(B138="","",INDEX('02_DS_Nhan_Viec'!$H:$H,MATCH(B138,'02_DS_Nhan_Viec'!$J:$J,0))),"")</f>
      </c>
      <c r="G138" s="79">
        <f t="array" ref="G138">IFERROR(IF(B138="","",INDEX('02_DS_Nhan_Viec'!$I:$I,MATCH(B138,'02_DS_Nhan_Viec'!$J:$J,0))),"")</f>
      </c>
      <c r="H138" s="79">
        <f t="array" ref="H138">IF(B138="","",IFERROR(IF(INDEX('03_Ho_So_Nhan_Vien'!$M:$M,MATCH(B138,'03_Ho_So_Nhan_Vien'!$C:$C,0))=0,"",INDEX('03_Ho_So_Nhan_Vien'!$M:$M,MATCH(B138,'03_Ho_So_Nhan_Vien'!$C:$C,0))),""))</f>
      </c>
      <c r="I138" s="78"/>
      <c r="J138" s="78"/>
      <c r="K138" s="78"/>
    </row>
    <row r="139" ht="14.25" customHeight="1" spans="1:11" x14ac:dyDescent="0.25">
      <c r="A139" s="79">
        <f>IFERROR(IF(ISNUMBER(MATCH(138,'05_Theo_Doi_Gio_Cong_7_Ngay'!$O:$O,0)),138,""),"")</f>
      </c>
      <c r="B139" s="87">
        <f t="array" ref="B139">IFERROR(IF(A139="","",INDEX('05_Theo_Doi_Gio_Cong_7_Ngay'!$B:$B,MATCH(138,'05_Theo_Doi_Gio_Cong_7_Ngay'!$O:$O,0))),"")</f>
      </c>
      <c r="C139" s="79">
        <f t="array" ref="C139">IFERROR(IF(A139="","",INDEX('05_Theo_Doi_Gio_Cong_7_Ngay'!$C:$C,MATCH(138,'05_Theo_Doi_Gio_Cong_7_Ngay'!$O:$O,0))),"")</f>
      </c>
      <c r="D139" s="80">
        <f t="array" ref="D139">IFERROR(IF(A139="","",INDEX('05_Theo_Doi_Gio_Cong_7_Ngay'!$D:$D,MATCH(138,'05_Theo_Doi_Gio_Cong_7_Ngay'!$O:$O,0))),"")</f>
      </c>
      <c r="E139" s="80">
        <f t="array" ref="E139">IFERROR(IF(B139="","",INDEX('02_DS_Nhan_Viec'!$G:$G,MATCH(B139,'02_DS_Nhan_Viec'!$J:$J,0))),"")</f>
      </c>
      <c r="F139" s="79">
        <f t="array" ref="F139">IFERROR(IF(B139="","",INDEX('02_DS_Nhan_Viec'!$H:$H,MATCH(B139,'02_DS_Nhan_Viec'!$J:$J,0))),"")</f>
      </c>
      <c r="G139" s="79">
        <f t="array" ref="G139">IFERROR(IF(B139="","",INDEX('02_DS_Nhan_Viec'!$I:$I,MATCH(B139,'02_DS_Nhan_Viec'!$J:$J,0))),"")</f>
      </c>
      <c r="H139" s="79">
        <f t="array" ref="H139">IF(B139="","",IFERROR(IF(INDEX('03_Ho_So_Nhan_Vien'!$M:$M,MATCH(B139,'03_Ho_So_Nhan_Vien'!$C:$C,0))=0,"",INDEX('03_Ho_So_Nhan_Vien'!$M:$M,MATCH(B139,'03_Ho_So_Nhan_Vien'!$C:$C,0))),""))</f>
      </c>
      <c r="I139" s="78"/>
      <c r="J139" s="78"/>
      <c r="K139" s="78"/>
    </row>
    <row r="140" ht="14.25" customHeight="1" spans="1:11" x14ac:dyDescent="0.25">
      <c r="A140" s="79">
        <f>IFERROR(IF(ISNUMBER(MATCH(139,'05_Theo_Doi_Gio_Cong_7_Ngay'!$O:$O,0)),139,""),"")</f>
      </c>
      <c r="B140" s="87">
        <f t="array" ref="B140">IFERROR(IF(A140="","",INDEX('05_Theo_Doi_Gio_Cong_7_Ngay'!$B:$B,MATCH(139,'05_Theo_Doi_Gio_Cong_7_Ngay'!$O:$O,0))),"")</f>
      </c>
      <c r="C140" s="79">
        <f t="array" ref="C140">IFERROR(IF(A140="","",INDEX('05_Theo_Doi_Gio_Cong_7_Ngay'!$C:$C,MATCH(139,'05_Theo_Doi_Gio_Cong_7_Ngay'!$O:$O,0))),"")</f>
      </c>
      <c r="D140" s="80">
        <f t="array" ref="D140">IFERROR(IF(A140="","",INDEX('05_Theo_Doi_Gio_Cong_7_Ngay'!$D:$D,MATCH(139,'05_Theo_Doi_Gio_Cong_7_Ngay'!$O:$O,0))),"")</f>
      </c>
      <c r="E140" s="80">
        <f t="array" ref="E140">IFERROR(IF(B140="","",INDEX('02_DS_Nhan_Viec'!$G:$G,MATCH(B140,'02_DS_Nhan_Viec'!$J:$J,0))),"")</f>
      </c>
      <c r="F140" s="79">
        <f t="array" ref="F140">IFERROR(IF(B140="","",INDEX('02_DS_Nhan_Viec'!$H:$H,MATCH(B140,'02_DS_Nhan_Viec'!$J:$J,0))),"")</f>
      </c>
      <c r="G140" s="79">
        <f t="array" ref="G140">IFERROR(IF(B140="","",INDEX('02_DS_Nhan_Viec'!$I:$I,MATCH(B140,'02_DS_Nhan_Viec'!$J:$J,0))),"")</f>
      </c>
      <c r="H140" s="79">
        <f t="array" ref="H140">IF(B140="","",IFERROR(IF(INDEX('03_Ho_So_Nhan_Vien'!$M:$M,MATCH(B140,'03_Ho_So_Nhan_Vien'!$C:$C,0))=0,"",INDEX('03_Ho_So_Nhan_Vien'!$M:$M,MATCH(B140,'03_Ho_So_Nhan_Vien'!$C:$C,0))),""))</f>
      </c>
      <c r="I140" s="78"/>
      <c r="J140" s="78"/>
      <c r="K140" s="78"/>
    </row>
    <row r="141" ht="14.25" customHeight="1" spans="1:11" x14ac:dyDescent="0.25">
      <c r="A141" s="79">
        <f>IFERROR(IF(ISNUMBER(MATCH(140,'05_Theo_Doi_Gio_Cong_7_Ngay'!$O:$O,0)),140,""),"")</f>
      </c>
      <c r="B141" s="87">
        <f t="array" ref="B141">IFERROR(IF(A141="","",INDEX('05_Theo_Doi_Gio_Cong_7_Ngay'!$B:$B,MATCH(140,'05_Theo_Doi_Gio_Cong_7_Ngay'!$O:$O,0))),"")</f>
      </c>
      <c r="C141" s="79">
        <f t="array" ref="C141">IFERROR(IF(A141="","",INDEX('05_Theo_Doi_Gio_Cong_7_Ngay'!$C:$C,MATCH(140,'05_Theo_Doi_Gio_Cong_7_Ngay'!$O:$O,0))),"")</f>
      </c>
      <c r="D141" s="80">
        <f t="array" ref="D141">IFERROR(IF(A141="","",INDEX('05_Theo_Doi_Gio_Cong_7_Ngay'!$D:$D,MATCH(140,'05_Theo_Doi_Gio_Cong_7_Ngay'!$O:$O,0))),"")</f>
      </c>
      <c r="E141" s="80">
        <f t="array" ref="E141">IFERROR(IF(B141="","",INDEX('02_DS_Nhan_Viec'!$G:$G,MATCH(B141,'02_DS_Nhan_Viec'!$J:$J,0))),"")</f>
      </c>
      <c r="F141" s="79">
        <f t="array" ref="F141">IFERROR(IF(B141="","",INDEX('02_DS_Nhan_Viec'!$H:$H,MATCH(B141,'02_DS_Nhan_Viec'!$J:$J,0))),"")</f>
      </c>
      <c r="G141" s="79">
        <f t="array" ref="G141">IFERROR(IF(B141="","",INDEX('02_DS_Nhan_Viec'!$I:$I,MATCH(B141,'02_DS_Nhan_Viec'!$J:$J,0))),"")</f>
      </c>
      <c r="H141" s="79">
        <f t="array" ref="H141">IF(B141="","",IFERROR(IF(INDEX('03_Ho_So_Nhan_Vien'!$M:$M,MATCH(B141,'03_Ho_So_Nhan_Vien'!$C:$C,0))=0,"",INDEX('03_Ho_So_Nhan_Vien'!$M:$M,MATCH(B141,'03_Ho_So_Nhan_Vien'!$C:$C,0))),""))</f>
      </c>
      <c r="I141" s="78"/>
      <c r="J141" s="78"/>
      <c r="K141" s="78"/>
    </row>
    <row r="142" ht="14.25" customHeight="1" spans="1:11" x14ac:dyDescent="0.25">
      <c r="A142" s="79">
        <f>IFERROR(IF(ISNUMBER(MATCH(141,'05_Theo_Doi_Gio_Cong_7_Ngay'!$O:$O,0)),141,""),"")</f>
      </c>
      <c r="B142" s="87">
        <f t="array" ref="B142">IFERROR(IF(A142="","",INDEX('05_Theo_Doi_Gio_Cong_7_Ngay'!$B:$B,MATCH(141,'05_Theo_Doi_Gio_Cong_7_Ngay'!$O:$O,0))),"")</f>
      </c>
      <c r="C142" s="79">
        <f t="array" ref="C142">IFERROR(IF(A142="","",INDEX('05_Theo_Doi_Gio_Cong_7_Ngay'!$C:$C,MATCH(141,'05_Theo_Doi_Gio_Cong_7_Ngay'!$O:$O,0))),"")</f>
      </c>
      <c r="D142" s="80">
        <f t="array" ref="D142">IFERROR(IF(A142="","",INDEX('05_Theo_Doi_Gio_Cong_7_Ngay'!$D:$D,MATCH(141,'05_Theo_Doi_Gio_Cong_7_Ngay'!$O:$O,0))),"")</f>
      </c>
      <c r="E142" s="80">
        <f t="array" ref="E142">IFERROR(IF(B142="","",INDEX('02_DS_Nhan_Viec'!$G:$G,MATCH(B142,'02_DS_Nhan_Viec'!$J:$J,0))),"")</f>
      </c>
      <c r="F142" s="79">
        <f t="array" ref="F142">IFERROR(IF(B142="","",INDEX('02_DS_Nhan_Viec'!$H:$H,MATCH(B142,'02_DS_Nhan_Viec'!$J:$J,0))),"")</f>
      </c>
      <c r="G142" s="79">
        <f t="array" ref="G142">IFERROR(IF(B142="","",INDEX('02_DS_Nhan_Viec'!$I:$I,MATCH(B142,'02_DS_Nhan_Viec'!$J:$J,0))),"")</f>
      </c>
      <c r="H142" s="79">
        <f t="array" ref="H142">IF(B142="","",IFERROR(IF(INDEX('03_Ho_So_Nhan_Vien'!$M:$M,MATCH(B142,'03_Ho_So_Nhan_Vien'!$C:$C,0))=0,"",INDEX('03_Ho_So_Nhan_Vien'!$M:$M,MATCH(B142,'03_Ho_So_Nhan_Vien'!$C:$C,0))),""))</f>
      </c>
      <c r="I142" s="78"/>
      <c r="J142" s="78"/>
      <c r="K142" s="78"/>
    </row>
    <row r="143" ht="14.25" customHeight="1" spans="1:11" x14ac:dyDescent="0.25">
      <c r="A143" s="79">
        <f>IFERROR(IF(ISNUMBER(MATCH(142,'05_Theo_Doi_Gio_Cong_7_Ngay'!$O:$O,0)),142,""),"")</f>
      </c>
      <c r="B143" s="87">
        <f t="array" ref="B143">IFERROR(IF(A143="","",INDEX('05_Theo_Doi_Gio_Cong_7_Ngay'!$B:$B,MATCH(142,'05_Theo_Doi_Gio_Cong_7_Ngay'!$O:$O,0))),"")</f>
      </c>
      <c r="C143" s="79">
        <f t="array" ref="C143">IFERROR(IF(A143="","",INDEX('05_Theo_Doi_Gio_Cong_7_Ngay'!$C:$C,MATCH(142,'05_Theo_Doi_Gio_Cong_7_Ngay'!$O:$O,0))),"")</f>
      </c>
      <c r="D143" s="80">
        <f t="array" ref="D143">IFERROR(IF(A143="","",INDEX('05_Theo_Doi_Gio_Cong_7_Ngay'!$D:$D,MATCH(142,'05_Theo_Doi_Gio_Cong_7_Ngay'!$O:$O,0))),"")</f>
      </c>
      <c r="E143" s="80">
        <f t="array" ref="E143">IFERROR(IF(B143="","",INDEX('02_DS_Nhan_Viec'!$G:$G,MATCH(B143,'02_DS_Nhan_Viec'!$J:$J,0))),"")</f>
      </c>
      <c r="F143" s="79">
        <f t="array" ref="F143">IFERROR(IF(B143="","",INDEX('02_DS_Nhan_Viec'!$H:$H,MATCH(B143,'02_DS_Nhan_Viec'!$J:$J,0))),"")</f>
      </c>
      <c r="G143" s="79">
        <f t="array" ref="G143">IFERROR(IF(B143="","",INDEX('02_DS_Nhan_Viec'!$I:$I,MATCH(B143,'02_DS_Nhan_Viec'!$J:$J,0))),"")</f>
      </c>
      <c r="H143" s="79">
        <f t="array" ref="H143">IF(B143="","",IFERROR(IF(INDEX('03_Ho_So_Nhan_Vien'!$M:$M,MATCH(B143,'03_Ho_So_Nhan_Vien'!$C:$C,0))=0,"",INDEX('03_Ho_So_Nhan_Vien'!$M:$M,MATCH(B143,'03_Ho_So_Nhan_Vien'!$C:$C,0))),""))</f>
      </c>
      <c r="I143" s="78"/>
      <c r="J143" s="78"/>
      <c r="K143" s="78"/>
    </row>
    <row r="144" ht="14.25" customHeight="1" spans="1:11" x14ac:dyDescent="0.25">
      <c r="A144" s="79">
        <f>IFERROR(IF(ISNUMBER(MATCH(143,'05_Theo_Doi_Gio_Cong_7_Ngay'!$O:$O,0)),143,""),"")</f>
      </c>
      <c r="B144" s="87">
        <f t="array" ref="B144">IFERROR(IF(A144="","",INDEX('05_Theo_Doi_Gio_Cong_7_Ngay'!$B:$B,MATCH(143,'05_Theo_Doi_Gio_Cong_7_Ngay'!$O:$O,0))),"")</f>
      </c>
      <c r="C144" s="79">
        <f t="array" ref="C144">IFERROR(IF(A144="","",INDEX('05_Theo_Doi_Gio_Cong_7_Ngay'!$C:$C,MATCH(143,'05_Theo_Doi_Gio_Cong_7_Ngay'!$O:$O,0))),"")</f>
      </c>
      <c r="D144" s="80">
        <f t="array" ref="D144">IFERROR(IF(A144="","",INDEX('05_Theo_Doi_Gio_Cong_7_Ngay'!$D:$D,MATCH(143,'05_Theo_Doi_Gio_Cong_7_Ngay'!$O:$O,0))),"")</f>
      </c>
      <c r="E144" s="80">
        <f t="array" ref="E144">IFERROR(IF(B144="","",INDEX('02_DS_Nhan_Viec'!$G:$G,MATCH(B144,'02_DS_Nhan_Viec'!$J:$J,0))),"")</f>
      </c>
      <c r="F144" s="79">
        <f t="array" ref="F144">IFERROR(IF(B144="","",INDEX('02_DS_Nhan_Viec'!$H:$H,MATCH(B144,'02_DS_Nhan_Viec'!$J:$J,0))),"")</f>
      </c>
      <c r="G144" s="79">
        <f t="array" ref="G144">IFERROR(IF(B144="","",INDEX('02_DS_Nhan_Viec'!$I:$I,MATCH(B144,'02_DS_Nhan_Viec'!$J:$J,0))),"")</f>
      </c>
      <c r="H144" s="79">
        <f t="array" ref="H144">IF(B144="","",IFERROR(IF(INDEX('03_Ho_So_Nhan_Vien'!$M:$M,MATCH(B144,'03_Ho_So_Nhan_Vien'!$C:$C,0))=0,"",INDEX('03_Ho_So_Nhan_Vien'!$M:$M,MATCH(B144,'03_Ho_So_Nhan_Vien'!$C:$C,0))),""))</f>
      </c>
      <c r="I144" s="78"/>
      <c r="J144" s="78"/>
      <c r="K144" s="78"/>
    </row>
    <row r="145" ht="14.25" customHeight="1" spans="1:11" x14ac:dyDescent="0.25">
      <c r="A145" s="79">
        <f>IFERROR(IF(ISNUMBER(MATCH(144,'05_Theo_Doi_Gio_Cong_7_Ngay'!$O:$O,0)),144,""),"")</f>
      </c>
      <c r="B145" s="87">
        <f t="array" ref="B145">IFERROR(IF(A145="","",INDEX('05_Theo_Doi_Gio_Cong_7_Ngay'!$B:$B,MATCH(144,'05_Theo_Doi_Gio_Cong_7_Ngay'!$O:$O,0))),"")</f>
      </c>
      <c r="C145" s="79">
        <f t="array" ref="C145">IFERROR(IF(A145="","",INDEX('05_Theo_Doi_Gio_Cong_7_Ngay'!$C:$C,MATCH(144,'05_Theo_Doi_Gio_Cong_7_Ngay'!$O:$O,0))),"")</f>
      </c>
      <c r="D145" s="80">
        <f t="array" ref="D145">IFERROR(IF(A145="","",INDEX('05_Theo_Doi_Gio_Cong_7_Ngay'!$D:$D,MATCH(144,'05_Theo_Doi_Gio_Cong_7_Ngay'!$O:$O,0))),"")</f>
      </c>
      <c r="E145" s="80">
        <f t="array" ref="E145">IFERROR(IF(B145="","",INDEX('02_DS_Nhan_Viec'!$G:$G,MATCH(B145,'02_DS_Nhan_Viec'!$J:$J,0))),"")</f>
      </c>
      <c r="F145" s="79">
        <f t="array" ref="F145">IFERROR(IF(B145="","",INDEX('02_DS_Nhan_Viec'!$H:$H,MATCH(B145,'02_DS_Nhan_Viec'!$J:$J,0))),"")</f>
      </c>
      <c r="G145" s="79">
        <f t="array" ref="G145">IFERROR(IF(B145="","",INDEX('02_DS_Nhan_Viec'!$I:$I,MATCH(B145,'02_DS_Nhan_Viec'!$J:$J,0))),"")</f>
      </c>
      <c r="H145" s="79">
        <f t="array" ref="H145">IF(B145="","",IFERROR(IF(INDEX('03_Ho_So_Nhan_Vien'!$M:$M,MATCH(B145,'03_Ho_So_Nhan_Vien'!$C:$C,0))=0,"",INDEX('03_Ho_So_Nhan_Vien'!$M:$M,MATCH(B145,'03_Ho_So_Nhan_Vien'!$C:$C,0))),""))</f>
      </c>
      <c r="I145" s="78"/>
      <c r="J145" s="78"/>
      <c r="K145" s="78"/>
    </row>
    <row r="146" ht="14.25" customHeight="1" spans="1:11" x14ac:dyDescent="0.25">
      <c r="A146" s="79">
        <f>IFERROR(IF(ISNUMBER(MATCH(145,'05_Theo_Doi_Gio_Cong_7_Ngay'!$O:$O,0)),145,""),"")</f>
      </c>
      <c r="B146" s="87">
        <f t="array" ref="B146">IFERROR(IF(A146="","",INDEX('05_Theo_Doi_Gio_Cong_7_Ngay'!$B:$B,MATCH(145,'05_Theo_Doi_Gio_Cong_7_Ngay'!$O:$O,0))),"")</f>
      </c>
      <c r="C146" s="79">
        <f t="array" ref="C146">IFERROR(IF(A146="","",INDEX('05_Theo_Doi_Gio_Cong_7_Ngay'!$C:$C,MATCH(145,'05_Theo_Doi_Gio_Cong_7_Ngay'!$O:$O,0))),"")</f>
      </c>
      <c r="D146" s="80">
        <f t="array" ref="D146">IFERROR(IF(A146="","",INDEX('05_Theo_Doi_Gio_Cong_7_Ngay'!$D:$D,MATCH(145,'05_Theo_Doi_Gio_Cong_7_Ngay'!$O:$O,0))),"")</f>
      </c>
      <c r="E146" s="80">
        <f t="array" ref="E146">IFERROR(IF(B146="","",INDEX('02_DS_Nhan_Viec'!$G:$G,MATCH(B146,'02_DS_Nhan_Viec'!$J:$J,0))),"")</f>
      </c>
      <c r="F146" s="79">
        <f t="array" ref="F146">IFERROR(IF(B146="","",INDEX('02_DS_Nhan_Viec'!$H:$H,MATCH(B146,'02_DS_Nhan_Viec'!$J:$J,0))),"")</f>
      </c>
      <c r="G146" s="79">
        <f t="array" ref="G146">IFERROR(IF(B146="","",INDEX('02_DS_Nhan_Viec'!$I:$I,MATCH(B146,'02_DS_Nhan_Viec'!$J:$J,0))),"")</f>
      </c>
      <c r="H146" s="79">
        <f t="array" ref="H146">IF(B146="","",IFERROR(IF(INDEX('03_Ho_So_Nhan_Vien'!$M:$M,MATCH(B146,'03_Ho_So_Nhan_Vien'!$C:$C,0))=0,"",INDEX('03_Ho_So_Nhan_Vien'!$M:$M,MATCH(B146,'03_Ho_So_Nhan_Vien'!$C:$C,0))),""))</f>
      </c>
      <c r="I146" s="78"/>
      <c r="J146" s="78"/>
      <c r="K146" s="78"/>
    </row>
    <row r="147" ht="14.25" customHeight="1" spans="1:11" x14ac:dyDescent="0.25">
      <c r="A147" s="79">
        <f>IFERROR(IF(ISNUMBER(MATCH(146,'05_Theo_Doi_Gio_Cong_7_Ngay'!$O:$O,0)),146,""),"")</f>
      </c>
      <c r="B147" s="87">
        <f t="array" ref="B147">IFERROR(IF(A147="","",INDEX('05_Theo_Doi_Gio_Cong_7_Ngay'!$B:$B,MATCH(146,'05_Theo_Doi_Gio_Cong_7_Ngay'!$O:$O,0))),"")</f>
      </c>
      <c r="C147" s="79">
        <f t="array" ref="C147">IFERROR(IF(A147="","",INDEX('05_Theo_Doi_Gio_Cong_7_Ngay'!$C:$C,MATCH(146,'05_Theo_Doi_Gio_Cong_7_Ngay'!$O:$O,0))),"")</f>
      </c>
      <c r="D147" s="80">
        <f t="array" ref="D147">IFERROR(IF(A147="","",INDEX('05_Theo_Doi_Gio_Cong_7_Ngay'!$D:$D,MATCH(146,'05_Theo_Doi_Gio_Cong_7_Ngay'!$O:$O,0))),"")</f>
      </c>
      <c r="E147" s="80">
        <f t="array" ref="E147">IFERROR(IF(B147="","",INDEX('02_DS_Nhan_Viec'!$G:$G,MATCH(B147,'02_DS_Nhan_Viec'!$J:$J,0))),"")</f>
      </c>
      <c r="F147" s="79">
        <f t="array" ref="F147">IFERROR(IF(B147="","",INDEX('02_DS_Nhan_Viec'!$H:$H,MATCH(B147,'02_DS_Nhan_Viec'!$J:$J,0))),"")</f>
      </c>
      <c r="G147" s="79">
        <f t="array" ref="G147">IFERROR(IF(B147="","",INDEX('02_DS_Nhan_Viec'!$I:$I,MATCH(B147,'02_DS_Nhan_Viec'!$J:$J,0))),"")</f>
      </c>
      <c r="H147" s="79">
        <f t="array" ref="H147">IF(B147="","",IFERROR(IF(INDEX('03_Ho_So_Nhan_Vien'!$M:$M,MATCH(B147,'03_Ho_So_Nhan_Vien'!$C:$C,0))=0,"",INDEX('03_Ho_So_Nhan_Vien'!$M:$M,MATCH(B147,'03_Ho_So_Nhan_Vien'!$C:$C,0))),""))</f>
      </c>
      <c r="I147" s="78"/>
      <c r="J147" s="78"/>
      <c r="K147" s="78"/>
    </row>
    <row r="148" ht="14.25" customHeight="1" spans="1:11" x14ac:dyDescent="0.25">
      <c r="A148" s="79">
        <f>IFERROR(IF(ISNUMBER(MATCH(147,'05_Theo_Doi_Gio_Cong_7_Ngay'!$O:$O,0)),147,""),"")</f>
      </c>
      <c r="B148" s="87">
        <f t="array" ref="B148">IFERROR(IF(A148="","",INDEX('05_Theo_Doi_Gio_Cong_7_Ngay'!$B:$B,MATCH(147,'05_Theo_Doi_Gio_Cong_7_Ngay'!$O:$O,0))),"")</f>
      </c>
      <c r="C148" s="79">
        <f t="array" ref="C148">IFERROR(IF(A148="","",INDEX('05_Theo_Doi_Gio_Cong_7_Ngay'!$C:$C,MATCH(147,'05_Theo_Doi_Gio_Cong_7_Ngay'!$O:$O,0))),"")</f>
      </c>
      <c r="D148" s="80">
        <f t="array" ref="D148">IFERROR(IF(A148="","",INDEX('05_Theo_Doi_Gio_Cong_7_Ngay'!$D:$D,MATCH(147,'05_Theo_Doi_Gio_Cong_7_Ngay'!$O:$O,0))),"")</f>
      </c>
      <c r="E148" s="80">
        <f t="array" ref="E148">IFERROR(IF(B148="","",INDEX('02_DS_Nhan_Viec'!$G:$G,MATCH(B148,'02_DS_Nhan_Viec'!$J:$J,0))),"")</f>
      </c>
      <c r="F148" s="79">
        <f t="array" ref="F148">IFERROR(IF(B148="","",INDEX('02_DS_Nhan_Viec'!$H:$H,MATCH(B148,'02_DS_Nhan_Viec'!$J:$J,0))),"")</f>
      </c>
      <c r="G148" s="79">
        <f t="array" ref="G148">IFERROR(IF(B148="","",INDEX('02_DS_Nhan_Viec'!$I:$I,MATCH(B148,'02_DS_Nhan_Viec'!$J:$J,0))),"")</f>
      </c>
      <c r="H148" s="79">
        <f t="array" ref="H148">IF(B148="","",IFERROR(IF(INDEX('03_Ho_So_Nhan_Vien'!$M:$M,MATCH(B148,'03_Ho_So_Nhan_Vien'!$C:$C,0))=0,"",INDEX('03_Ho_So_Nhan_Vien'!$M:$M,MATCH(B148,'03_Ho_So_Nhan_Vien'!$C:$C,0))),""))</f>
      </c>
      <c r="I148" s="78"/>
      <c r="J148" s="78"/>
      <c r="K148" s="78"/>
    </row>
    <row r="149" ht="14.25" customHeight="1" spans="1:11" x14ac:dyDescent="0.25">
      <c r="A149" s="79">
        <f>IFERROR(IF(ISNUMBER(MATCH(148,'05_Theo_Doi_Gio_Cong_7_Ngay'!$O:$O,0)),148,""),"")</f>
      </c>
      <c r="B149" s="87">
        <f t="array" ref="B149">IFERROR(IF(A149="","",INDEX('05_Theo_Doi_Gio_Cong_7_Ngay'!$B:$B,MATCH(148,'05_Theo_Doi_Gio_Cong_7_Ngay'!$O:$O,0))),"")</f>
      </c>
      <c r="C149" s="79">
        <f t="array" ref="C149">IFERROR(IF(A149="","",INDEX('05_Theo_Doi_Gio_Cong_7_Ngay'!$C:$C,MATCH(148,'05_Theo_Doi_Gio_Cong_7_Ngay'!$O:$O,0))),"")</f>
      </c>
      <c r="D149" s="80">
        <f t="array" ref="D149">IFERROR(IF(A149="","",INDEX('05_Theo_Doi_Gio_Cong_7_Ngay'!$D:$D,MATCH(148,'05_Theo_Doi_Gio_Cong_7_Ngay'!$O:$O,0))),"")</f>
      </c>
      <c r="E149" s="80">
        <f t="array" ref="E149">IFERROR(IF(B149="","",INDEX('02_DS_Nhan_Viec'!$G:$G,MATCH(B149,'02_DS_Nhan_Viec'!$J:$J,0))),"")</f>
      </c>
      <c r="F149" s="79">
        <f t="array" ref="F149">IFERROR(IF(B149="","",INDEX('02_DS_Nhan_Viec'!$H:$H,MATCH(B149,'02_DS_Nhan_Viec'!$J:$J,0))),"")</f>
      </c>
      <c r="G149" s="79">
        <f t="array" ref="G149">IFERROR(IF(B149="","",INDEX('02_DS_Nhan_Viec'!$I:$I,MATCH(B149,'02_DS_Nhan_Viec'!$J:$J,0))),"")</f>
      </c>
      <c r="H149" s="79">
        <f t="array" ref="H149">IF(B149="","",IFERROR(IF(INDEX('03_Ho_So_Nhan_Vien'!$M:$M,MATCH(B149,'03_Ho_So_Nhan_Vien'!$C:$C,0))=0,"",INDEX('03_Ho_So_Nhan_Vien'!$M:$M,MATCH(B149,'03_Ho_So_Nhan_Vien'!$C:$C,0))),""))</f>
      </c>
      <c r="I149" s="78"/>
      <c r="J149" s="78"/>
      <c r="K149" s="78"/>
    </row>
    <row r="150" ht="14.25" customHeight="1" spans="1:11" x14ac:dyDescent="0.25">
      <c r="A150" s="79">
        <f>IFERROR(IF(ISNUMBER(MATCH(149,'05_Theo_Doi_Gio_Cong_7_Ngay'!$O:$O,0)),149,""),"")</f>
      </c>
      <c r="B150" s="87">
        <f t="array" ref="B150">IFERROR(IF(A150="","",INDEX('05_Theo_Doi_Gio_Cong_7_Ngay'!$B:$B,MATCH(149,'05_Theo_Doi_Gio_Cong_7_Ngay'!$O:$O,0))),"")</f>
      </c>
      <c r="C150" s="79">
        <f t="array" ref="C150">IFERROR(IF(A150="","",INDEX('05_Theo_Doi_Gio_Cong_7_Ngay'!$C:$C,MATCH(149,'05_Theo_Doi_Gio_Cong_7_Ngay'!$O:$O,0))),"")</f>
      </c>
      <c r="D150" s="80">
        <f t="array" ref="D150">IFERROR(IF(A150="","",INDEX('05_Theo_Doi_Gio_Cong_7_Ngay'!$D:$D,MATCH(149,'05_Theo_Doi_Gio_Cong_7_Ngay'!$O:$O,0))),"")</f>
      </c>
      <c r="E150" s="80">
        <f t="array" ref="E150">IFERROR(IF(B150="","",INDEX('02_DS_Nhan_Viec'!$G:$G,MATCH(B150,'02_DS_Nhan_Viec'!$J:$J,0))),"")</f>
      </c>
      <c r="F150" s="79">
        <f t="array" ref="F150">IFERROR(IF(B150="","",INDEX('02_DS_Nhan_Viec'!$H:$H,MATCH(B150,'02_DS_Nhan_Viec'!$J:$J,0))),"")</f>
      </c>
      <c r="G150" s="79">
        <f t="array" ref="G150">IFERROR(IF(B150="","",INDEX('02_DS_Nhan_Viec'!$I:$I,MATCH(B150,'02_DS_Nhan_Viec'!$J:$J,0))),"")</f>
      </c>
      <c r="H150" s="79">
        <f t="array" ref="H150">IF(B150="","",IFERROR(IF(INDEX('03_Ho_So_Nhan_Vien'!$M:$M,MATCH(B150,'03_Ho_So_Nhan_Vien'!$C:$C,0))=0,"",INDEX('03_Ho_So_Nhan_Vien'!$M:$M,MATCH(B150,'03_Ho_So_Nhan_Vien'!$C:$C,0))),""))</f>
      </c>
      <c r="I150" s="78"/>
      <c r="J150" s="78"/>
      <c r="K150" s="78"/>
    </row>
    <row r="151" ht="14.25" customHeight="1" spans="1:11" x14ac:dyDescent="0.25">
      <c r="A151" s="79">
        <f>IFERROR(IF(ISNUMBER(MATCH(150,'05_Theo_Doi_Gio_Cong_7_Ngay'!$O:$O,0)),150,""),"")</f>
      </c>
      <c r="B151" s="87">
        <f t="array" ref="B151">IFERROR(IF(A151="","",INDEX('05_Theo_Doi_Gio_Cong_7_Ngay'!$B:$B,MATCH(150,'05_Theo_Doi_Gio_Cong_7_Ngay'!$O:$O,0))),"")</f>
      </c>
      <c r="C151" s="79">
        <f t="array" ref="C151">IFERROR(IF(A151="","",INDEX('05_Theo_Doi_Gio_Cong_7_Ngay'!$C:$C,MATCH(150,'05_Theo_Doi_Gio_Cong_7_Ngay'!$O:$O,0))),"")</f>
      </c>
      <c r="D151" s="80">
        <f t="array" ref="D151">IFERROR(IF(A151="","",INDEX('05_Theo_Doi_Gio_Cong_7_Ngay'!$D:$D,MATCH(150,'05_Theo_Doi_Gio_Cong_7_Ngay'!$O:$O,0))),"")</f>
      </c>
      <c r="E151" s="80">
        <f t="array" ref="E151">IFERROR(IF(B151="","",INDEX('02_DS_Nhan_Viec'!$G:$G,MATCH(B151,'02_DS_Nhan_Viec'!$J:$J,0))),"")</f>
      </c>
      <c r="F151" s="79">
        <f t="array" ref="F151">IFERROR(IF(B151="","",INDEX('02_DS_Nhan_Viec'!$H:$H,MATCH(B151,'02_DS_Nhan_Viec'!$J:$J,0))),"")</f>
      </c>
      <c r="G151" s="79">
        <f t="array" ref="G151">IFERROR(IF(B151="","",INDEX('02_DS_Nhan_Viec'!$I:$I,MATCH(B151,'02_DS_Nhan_Viec'!$J:$J,0))),"")</f>
      </c>
      <c r="H151" s="79">
        <f t="array" ref="H151">IF(B151="","",IFERROR(IF(INDEX('03_Ho_So_Nhan_Vien'!$M:$M,MATCH(B151,'03_Ho_So_Nhan_Vien'!$C:$C,0))=0,"",INDEX('03_Ho_So_Nhan_Vien'!$M:$M,MATCH(B151,'03_Ho_So_Nhan_Vien'!$C:$C,0))),""))</f>
      </c>
      <c r="I151" s="78"/>
      <c r="J151" s="78"/>
      <c r="K151" s="78"/>
    </row>
    <row r="152" ht="14.25" customHeight="1" spans="1:2" x14ac:dyDescent="0.25">
      <c r="B152" s="88"/>
    </row>
    <row r="153" ht="14.25" customHeight="1" spans="1:2" x14ac:dyDescent="0.25">
      <c r="B153" s="88"/>
    </row>
    <row r="154" ht="14.25" customHeight="1" spans="1:2" x14ac:dyDescent="0.25">
      <c r="B154" s="88"/>
    </row>
    <row r="155" ht="14.25" customHeight="1" spans="1:2" x14ac:dyDescent="0.25">
      <c r="B155" s="88"/>
    </row>
    <row r="156" ht="14.25" customHeight="1" spans="1:2" x14ac:dyDescent="0.25">
      <c r="B156" s="88"/>
    </row>
    <row r="157" ht="14.25" customHeight="1" spans="1:2" x14ac:dyDescent="0.25">
      <c r="B157" s="88"/>
    </row>
    <row r="158" ht="14.25" customHeight="1" spans="1:2" x14ac:dyDescent="0.25">
      <c r="B158" s="88"/>
    </row>
    <row r="159" ht="14.25" customHeight="1" spans="1:2" x14ac:dyDescent="0.25">
      <c r="B159" s="88"/>
    </row>
    <row r="160" ht="14.25" customHeight="1" spans="1:2" x14ac:dyDescent="0.25">
      <c r="B160" s="88"/>
    </row>
    <row r="161" ht="14.25" customHeight="1" spans="1:2" x14ac:dyDescent="0.25">
      <c r="B161" s="88"/>
    </row>
    <row r="162" ht="14.25" customHeight="1" spans="1:2" x14ac:dyDescent="0.25">
      <c r="B162" s="88"/>
    </row>
    <row r="163" ht="14.25" customHeight="1" spans="1:2" x14ac:dyDescent="0.25">
      <c r="B163" s="88"/>
    </row>
    <row r="164" ht="14.25" customHeight="1" spans="1:2" x14ac:dyDescent="0.25">
      <c r="B164" s="88"/>
    </row>
    <row r="165" ht="14.25" customHeight="1" spans="1:2" x14ac:dyDescent="0.25">
      <c r="B165" s="88"/>
    </row>
    <row r="166" ht="14.25" customHeight="1" spans="1:2" x14ac:dyDescent="0.25">
      <c r="B166" s="88"/>
    </row>
    <row r="167" ht="14.25" customHeight="1" spans="1:2" x14ac:dyDescent="0.25">
      <c r="B167" s="88"/>
    </row>
    <row r="168" ht="14.25" customHeight="1" spans="1:2" x14ac:dyDescent="0.25">
      <c r="B168" s="88"/>
    </row>
    <row r="169" ht="14.25" customHeight="1" spans="1:2" x14ac:dyDescent="0.25">
      <c r="B169" s="88"/>
    </row>
    <row r="170" ht="14.25" customHeight="1" spans="1:2" x14ac:dyDescent="0.25">
      <c r="B170" s="88"/>
    </row>
    <row r="171" ht="14.25" customHeight="1" spans="1:2" x14ac:dyDescent="0.25">
      <c r="B171" s="88"/>
    </row>
    <row r="172" ht="14.25" customHeight="1" spans="1:2" x14ac:dyDescent="0.25">
      <c r="B172" s="88"/>
    </row>
    <row r="173" ht="14.25" customHeight="1" spans="1:2" x14ac:dyDescent="0.25">
      <c r="B173" s="88"/>
    </row>
    <row r="174" ht="14.25" customHeight="1" spans="1:2" x14ac:dyDescent="0.25">
      <c r="B174" s="88"/>
    </row>
    <row r="175" ht="14.25" customHeight="1" spans="1:2" x14ac:dyDescent="0.25">
      <c r="B175" s="88"/>
    </row>
    <row r="176" ht="14.25" customHeight="1" spans="1:2" x14ac:dyDescent="0.25">
      <c r="B176" s="88"/>
    </row>
    <row r="177" ht="14.25" customHeight="1" spans="1:2" x14ac:dyDescent="0.25">
      <c r="B177" s="88"/>
    </row>
    <row r="178" ht="14.25" customHeight="1" spans="1:2" x14ac:dyDescent="0.25">
      <c r="B178" s="88"/>
    </row>
    <row r="179" ht="14.25" customHeight="1" spans="1:2" x14ac:dyDescent="0.25">
      <c r="B179" s="88"/>
    </row>
    <row r="180" ht="14.25" customHeight="1" spans="1:2" x14ac:dyDescent="0.25">
      <c r="B180" s="88"/>
    </row>
    <row r="181" ht="14.25" customHeight="1" spans="1:2" x14ac:dyDescent="0.25">
      <c r="B181" s="88"/>
    </row>
    <row r="182" ht="14.25" customHeight="1" spans="1:2" x14ac:dyDescent="0.25">
      <c r="B182" s="88"/>
    </row>
    <row r="183" ht="14.25" customHeight="1" spans="1:2" x14ac:dyDescent="0.25">
      <c r="B183" s="88"/>
    </row>
    <row r="184" ht="14.25" customHeight="1" spans="1:2" x14ac:dyDescent="0.25">
      <c r="B184" s="88"/>
    </row>
    <row r="185" ht="14.25" customHeight="1" spans="1:2" x14ac:dyDescent="0.25">
      <c r="B185" s="88"/>
    </row>
    <row r="186" ht="14.25" customHeight="1" spans="1:2" x14ac:dyDescent="0.25">
      <c r="B186" s="88"/>
    </row>
    <row r="187" ht="14.25" customHeight="1" spans="1:2" x14ac:dyDescent="0.25">
      <c r="B187" s="88"/>
    </row>
    <row r="188" ht="14.25" customHeight="1" spans="1:2" x14ac:dyDescent="0.25">
      <c r="B188" s="88"/>
    </row>
    <row r="189" ht="14.25" customHeight="1" spans="1:2" x14ac:dyDescent="0.25">
      <c r="B189" s="88"/>
    </row>
    <row r="190" ht="14.25" customHeight="1" spans="1:2" x14ac:dyDescent="0.25">
      <c r="B190" s="88"/>
    </row>
    <row r="191" ht="14.25" customHeight="1" spans="1:2" x14ac:dyDescent="0.25">
      <c r="B191" s="88"/>
    </row>
    <row r="192" ht="14.25" customHeight="1" spans="1:2" x14ac:dyDescent="0.25">
      <c r="B192" s="88"/>
    </row>
    <row r="193" ht="14.25" customHeight="1" spans="1:2" x14ac:dyDescent="0.25">
      <c r="B193" s="88"/>
    </row>
    <row r="194" ht="14.25" customHeight="1" spans="1:2" x14ac:dyDescent="0.25">
      <c r="B194" s="88"/>
    </row>
    <row r="195" ht="14.25" customHeight="1" spans="1:2" x14ac:dyDescent="0.25">
      <c r="B195" s="88"/>
    </row>
    <row r="196" ht="14.25" customHeight="1" spans="1:2" x14ac:dyDescent="0.25">
      <c r="B196" s="88"/>
    </row>
    <row r="197" ht="14.25" customHeight="1" spans="1:2" x14ac:dyDescent="0.25">
      <c r="B197" s="88"/>
    </row>
    <row r="198" ht="14.25" customHeight="1" spans="1:2" x14ac:dyDescent="0.25">
      <c r="B198" s="88"/>
    </row>
    <row r="199" ht="14.25" customHeight="1" spans="1:2" x14ac:dyDescent="0.25">
      <c r="B199" s="88"/>
    </row>
    <row r="200" ht="14.25" customHeight="1" spans="1:2" x14ac:dyDescent="0.25">
      <c r="B200" s="88"/>
    </row>
    <row r="201" ht="14.25" customHeight="1" spans="1:2" x14ac:dyDescent="0.25">
      <c r="B201" s="88"/>
    </row>
    <row r="202" ht="14.25" customHeight="1" spans="1:2" x14ac:dyDescent="0.25">
      <c r="B202" s="88"/>
    </row>
    <row r="203" ht="14.25" customHeight="1" spans="1:2" x14ac:dyDescent="0.25">
      <c r="B203" s="88"/>
    </row>
    <row r="204" ht="14.25" customHeight="1" spans="1:2" x14ac:dyDescent="0.25">
      <c r="B204" s="88"/>
    </row>
    <row r="205" ht="14.25" customHeight="1" spans="1:2" x14ac:dyDescent="0.25">
      <c r="B205" s="88"/>
    </row>
    <row r="206" ht="14.25" customHeight="1" spans="1:2" x14ac:dyDescent="0.25">
      <c r="B206" s="88"/>
    </row>
    <row r="207" ht="14.25" customHeight="1" spans="1:2" x14ac:dyDescent="0.25">
      <c r="B207" s="88"/>
    </row>
    <row r="208" ht="14.25" customHeight="1" spans="1:2" x14ac:dyDescent="0.25">
      <c r="B208" s="88"/>
    </row>
    <row r="209" ht="14.25" customHeight="1" spans="1:2" x14ac:dyDescent="0.25">
      <c r="B209" s="88"/>
    </row>
    <row r="210" ht="14.25" customHeight="1" spans="1:2" x14ac:dyDescent="0.25">
      <c r="B210" s="88"/>
    </row>
    <row r="211" ht="14.25" customHeight="1" spans="1:2" x14ac:dyDescent="0.25">
      <c r="B211" s="88"/>
    </row>
    <row r="212" ht="14.25" customHeight="1" spans="1:2" x14ac:dyDescent="0.25">
      <c r="B212" s="88"/>
    </row>
    <row r="213" ht="14.25" customHeight="1" spans="1:2" x14ac:dyDescent="0.25">
      <c r="B213" s="88"/>
    </row>
    <row r="214" ht="14.25" customHeight="1" spans="1:2" x14ac:dyDescent="0.25">
      <c r="B214" s="88"/>
    </row>
    <row r="215" ht="14.25" customHeight="1" spans="1:2" x14ac:dyDescent="0.25">
      <c r="B215" s="88"/>
    </row>
    <row r="216" ht="14.25" customHeight="1" spans="1:2" x14ac:dyDescent="0.25">
      <c r="B216" s="88"/>
    </row>
    <row r="217" ht="14.25" customHeight="1" spans="1:2" x14ac:dyDescent="0.25">
      <c r="B217" s="88"/>
    </row>
    <row r="218" ht="14.25" customHeight="1" spans="1:2" x14ac:dyDescent="0.25">
      <c r="B218" s="88"/>
    </row>
    <row r="219" ht="14.25" customHeight="1" spans="1:2" x14ac:dyDescent="0.25">
      <c r="B219" s="88"/>
    </row>
    <row r="220" ht="14.25" customHeight="1" spans="1:2" x14ac:dyDescent="0.25">
      <c r="B220" s="88"/>
    </row>
    <row r="221" ht="14.25" customHeight="1" spans="1:2" x14ac:dyDescent="0.25">
      <c r="B221" s="88"/>
    </row>
    <row r="222" ht="14.25" customHeight="1" spans="1:2" x14ac:dyDescent="0.25">
      <c r="B222" s="88"/>
    </row>
    <row r="223" ht="14.25" customHeight="1" spans="1:2" x14ac:dyDescent="0.25">
      <c r="B223" s="88"/>
    </row>
    <row r="224" ht="14.25" customHeight="1" spans="1:2" x14ac:dyDescent="0.25">
      <c r="B224" s="88"/>
    </row>
    <row r="225" ht="14.25" customHeight="1" spans="1:2" x14ac:dyDescent="0.25">
      <c r="B225" s="88"/>
    </row>
    <row r="226" ht="14.25" customHeight="1" spans="1:2" x14ac:dyDescent="0.25">
      <c r="B226" s="88"/>
    </row>
    <row r="227" ht="14.25" customHeight="1" spans="1:2" x14ac:dyDescent="0.25">
      <c r="B227" s="88"/>
    </row>
    <row r="228" ht="14.25" customHeight="1" spans="1:2" x14ac:dyDescent="0.25">
      <c r="B228" s="88"/>
    </row>
    <row r="229" ht="14.25" customHeight="1" spans="1:2" x14ac:dyDescent="0.25">
      <c r="B229" s="88"/>
    </row>
    <row r="230" ht="14.25" customHeight="1" spans="1:2" x14ac:dyDescent="0.25">
      <c r="B230" s="88"/>
    </row>
    <row r="231" ht="14.25" customHeight="1" spans="1:2" x14ac:dyDescent="0.25">
      <c r="B231" s="88"/>
    </row>
    <row r="232" ht="14.25" customHeight="1" spans="1:2" x14ac:dyDescent="0.25">
      <c r="B232" s="88"/>
    </row>
    <row r="233" ht="14.25" customHeight="1" spans="1:2" x14ac:dyDescent="0.25">
      <c r="B233" s="88"/>
    </row>
    <row r="234" ht="14.25" customHeight="1" spans="1:2" x14ac:dyDescent="0.25">
      <c r="B234" s="88"/>
    </row>
    <row r="235" ht="14.25" customHeight="1" spans="1:2" x14ac:dyDescent="0.25">
      <c r="B235" s="88"/>
    </row>
    <row r="236" ht="14.25" customHeight="1" spans="1:2" x14ac:dyDescent="0.25">
      <c r="B236" s="88"/>
    </row>
    <row r="237" ht="14.25" customHeight="1" spans="1:2" x14ac:dyDescent="0.25">
      <c r="B237" s="88"/>
    </row>
    <row r="238" ht="14.25" customHeight="1" spans="1:2" x14ac:dyDescent="0.25">
      <c r="B238" s="88"/>
    </row>
    <row r="239" ht="14.25" customHeight="1" spans="1:2" x14ac:dyDescent="0.25">
      <c r="B239" s="88"/>
    </row>
    <row r="240" ht="14.25" customHeight="1" spans="1:2" x14ac:dyDescent="0.25">
      <c r="B240" s="88"/>
    </row>
    <row r="241" ht="14.25" customHeight="1" spans="1:2" x14ac:dyDescent="0.25">
      <c r="B241" s="88"/>
    </row>
    <row r="242" ht="14.25" customHeight="1" spans="1:2" x14ac:dyDescent="0.25">
      <c r="B242" s="88"/>
    </row>
    <row r="243" ht="14.25" customHeight="1" spans="1:2" x14ac:dyDescent="0.25">
      <c r="B243" s="88"/>
    </row>
    <row r="244" ht="14.25" customHeight="1" spans="1:2" x14ac:dyDescent="0.25">
      <c r="B244" s="88"/>
    </row>
    <row r="245" ht="14.25" customHeight="1" spans="1:2" x14ac:dyDescent="0.25">
      <c r="B245" s="88"/>
    </row>
    <row r="246" ht="14.25" customHeight="1" spans="1:2" x14ac:dyDescent="0.25">
      <c r="B246" s="88"/>
    </row>
    <row r="247" ht="14.25" customHeight="1" spans="1:2" x14ac:dyDescent="0.25">
      <c r="B247" s="88"/>
    </row>
    <row r="248" ht="14.25" customHeight="1" spans="1:2" x14ac:dyDescent="0.25">
      <c r="B248" s="88"/>
    </row>
    <row r="249" ht="14.25" customHeight="1" spans="1:2" x14ac:dyDescent="0.25">
      <c r="B249" s="88"/>
    </row>
    <row r="250" ht="14.25" customHeight="1" spans="1:2" x14ac:dyDescent="0.25">
      <c r="B250" s="88"/>
    </row>
    <row r="251" ht="14.25" customHeight="1" spans="1:2" x14ac:dyDescent="0.25">
      <c r="B251" s="88"/>
    </row>
    <row r="252" ht="14.25" customHeight="1" spans="1:2" x14ac:dyDescent="0.25">
      <c r="B252" s="88"/>
    </row>
    <row r="253" ht="14.25" customHeight="1" spans="1:2" x14ac:dyDescent="0.25">
      <c r="B253" s="88"/>
    </row>
    <row r="254" ht="14.25" customHeight="1" spans="1:2" x14ac:dyDescent="0.25">
      <c r="B254" s="88"/>
    </row>
    <row r="255" ht="14.25" customHeight="1" spans="1:2" x14ac:dyDescent="0.25">
      <c r="B255" s="88"/>
    </row>
    <row r="256" ht="14.25" customHeight="1" spans="1:2" x14ac:dyDescent="0.25">
      <c r="B256" s="88"/>
    </row>
    <row r="257" ht="14.25" customHeight="1" spans="1:2" x14ac:dyDescent="0.25">
      <c r="B257" s="88"/>
    </row>
    <row r="258" ht="14.25" customHeight="1" spans="1:2" x14ac:dyDescent="0.25">
      <c r="B258" s="88"/>
    </row>
    <row r="259" ht="14.25" customHeight="1" spans="1:2" x14ac:dyDescent="0.25">
      <c r="B259" s="88"/>
    </row>
    <row r="260" ht="14.25" customHeight="1" spans="1:2" x14ac:dyDescent="0.25">
      <c r="B260" s="88"/>
    </row>
    <row r="261" ht="14.25" customHeight="1" spans="1:2" x14ac:dyDescent="0.25">
      <c r="B261" s="88"/>
    </row>
    <row r="262" ht="14.25" customHeight="1" spans="1:2" x14ac:dyDescent="0.25">
      <c r="B262" s="88"/>
    </row>
    <row r="263" ht="14.25" customHeight="1" spans="1:2" x14ac:dyDescent="0.25">
      <c r="B263" s="88"/>
    </row>
    <row r="264" ht="14.25" customHeight="1" spans="1:2" x14ac:dyDescent="0.25">
      <c r="B264" s="88"/>
    </row>
    <row r="265" ht="14.25" customHeight="1" spans="1:2" x14ac:dyDescent="0.25">
      <c r="B265" s="88"/>
    </row>
    <row r="266" ht="14.25" customHeight="1" spans="1:2" x14ac:dyDescent="0.25">
      <c r="B266" s="88"/>
    </row>
    <row r="267" ht="14.25" customHeight="1" spans="1:2" x14ac:dyDescent="0.25">
      <c r="B267" s="88"/>
    </row>
    <row r="268" ht="14.25" customHeight="1" spans="1:2" x14ac:dyDescent="0.25">
      <c r="B268" s="88"/>
    </row>
    <row r="269" ht="14.25" customHeight="1" spans="1:2" x14ac:dyDescent="0.25">
      <c r="B269" s="88"/>
    </row>
    <row r="270" ht="14.25" customHeight="1" spans="1:2" x14ac:dyDescent="0.25">
      <c r="B270" s="88"/>
    </row>
    <row r="271" ht="14.25" customHeight="1" spans="1:2" x14ac:dyDescent="0.25">
      <c r="B271" s="88"/>
    </row>
    <row r="272" ht="14.25" customHeight="1" spans="1:2" x14ac:dyDescent="0.25">
      <c r="B272" s="88"/>
    </row>
    <row r="273" ht="14.25" customHeight="1" spans="1:2" x14ac:dyDescent="0.25">
      <c r="B273" s="88"/>
    </row>
    <row r="274" ht="14.25" customHeight="1" spans="1:2" x14ac:dyDescent="0.25">
      <c r="B274" s="88"/>
    </row>
    <row r="275" ht="14.25" customHeight="1" spans="1:2" x14ac:dyDescent="0.25">
      <c r="B275" s="88"/>
    </row>
    <row r="276" ht="14.25" customHeight="1" spans="1:2" x14ac:dyDescent="0.25">
      <c r="B276" s="88"/>
    </row>
    <row r="277" ht="14.25" customHeight="1" spans="1:2" x14ac:dyDescent="0.25">
      <c r="B277" s="88"/>
    </row>
    <row r="278" ht="14.25" customHeight="1" spans="1:2" x14ac:dyDescent="0.25">
      <c r="B278" s="88"/>
    </row>
    <row r="279" ht="14.25" customHeight="1" spans="1:2" x14ac:dyDescent="0.25">
      <c r="B279" s="88"/>
    </row>
    <row r="280" ht="14.25" customHeight="1" spans="1:2" x14ac:dyDescent="0.25">
      <c r="B280" s="88"/>
    </row>
    <row r="281" ht="14.25" customHeight="1" spans="1:2" x14ac:dyDescent="0.25">
      <c r="B281" s="88"/>
    </row>
    <row r="282" ht="14.25" customHeight="1" spans="1:2" x14ac:dyDescent="0.25">
      <c r="B282" s="88"/>
    </row>
    <row r="283" ht="14.25" customHeight="1" spans="1:2" x14ac:dyDescent="0.25">
      <c r="B283" s="88"/>
    </row>
    <row r="284" ht="14.25" customHeight="1" spans="1:2" x14ac:dyDescent="0.25">
      <c r="B284" s="88"/>
    </row>
    <row r="285" ht="14.25" customHeight="1" spans="1:2" x14ac:dyDescent="0.25">
      <c r="B285" s="88"/>
    </row>
    <row r="286" ht="14.25" customHeight="1" spans="1:2" x14ac:dyDescent="0.25">
      <c r="B286" s="88"/>
    </row>
    <row r="287" ht="14.25" customHeight="1" spans="1:2" x14ac:dyDescent="0.25">
      <c r="B287" s="88"/>
    </row>
    <row r="288" ht="14.25" customHeight="1" spans="1:2" x14ac:dyDescent="0.25">
      <c r="B288" s="88"/>
    </row>
    <row r="289" ht="14.25" customHeight="1" spans="1:2" x14ac:dyDescent="0.25">
      <c r="B289" s="88"/>
    </row>
    <row r="290" ht="14.25" customHeight="1" spans="1:2" x14ac:dyDescent="0.25">
      <c r="B290" s="88"/>
    </row>
    <row r="291" ht="14.25" customHeight="1" spans="1:2" x14ac:dyDescent="0.25">
      <c r="B291" s="88"/>
    </row>
    <row r="292" ht="14.25" customHeight="1" spans="1:2" x14ac:dyDescent="0.25">
      <c r="B292" s="88"/>
    </row>
    <row r="293" ht="14.25" customHeight="1" spans="1:2" x14ac:dyDescent="0.25">
      <c r="B293" s="88"/>
    </row>
    <row r="294" ht="14.25" customHeight="1" spans="1:2" x14ac:dyDescent="0.25">
      <c r="B294" s="88"/>
    </row>
    <row r="295" ht="14.25" customHeight="1" spans="1:2" x14ac:dyDescent="0.25">
      <c r="B295" s="88"/>
    </row>
    <row r="296" ht="14.25" customHeight="1" spans="1:2" x14ac:dyDescent="0.25">
      <c r="B296" s="88"/>
    </row>
    <row r="297" ht="14.25" customHeight="1" spans="1:2" x14ac:dyDescent="0.25">
      <c r="B297" s="88"/>
    </row>
    <row r="298" ht="14.25" customHeight="1" spans="1:2" x14ac:dyDescent="0.25">
      <c r="B298" s="88"/>
    </row>
    <row r="299" ht="14.25" customHeight="1" spans="1:2" x14ac:dyDescent="0.25">
      <c r="B299" s="88"/>
    </row>
    <row r="300" ht="14.25" customHeight="1" spans="1:2" x14ac:dyDescent="0.25">
      <c r="B300" s="88"/>
    </row>
    <row r="301" ht="14.25" customHeight="1" spans="1:2" x14ac:dyDescent="0.25">
      <c r="B301" s="88"/>
    </row>
    <row r="302" ht="14.25" customHeight="1" spans="1:2" x14ac:dyDescent="0.25">
      <c r="B302" s="88"/>
    </row>
    <row r="303" ht="14.25" customHeight="1" spans="1:2" x14ac:dyDescent="0.25">
      <c r="B303" s="88"/>
    </row>
    <row r="304" ht="14.25" customHeight="1" spans="1:2" x14ac:dyDescent="0.25">
      <c r="B304" s="88"/>
    </row>
    <row r="305" ht="14.25" customHeight="1" spans="1:2" x14ac:dyDescent="0.25">
      <c r="B305" s="88"/>
    </row>
    <row r="306" ht="14.25" customHeight="1" spans="1:2" x14ac:dyDescent="0.25">
      <c r="B306" s="88"/>
    </row>
    <row r="307" ht="14.25" customHeight="1" spans="1:2" x14ac:dyDescent="0.25">
      <c r="B307" s="88"/>
    </row>
    <row r="308" ht="14.25" customHeight="1" spans="1:2" x14ac:dyDescent="0.25">
      <c r="B308" s="88"/>
    </row>
    <row r="309" ht="14.25" customHeight="1" spans="1:2" x14ac:dyDescent="0.25">
      <c r="B309" s="88"/>
    </row>
    <row r="310" ht="14.25" customHeight="1" spans="1:2" x14ac:dyDescent="0.25">
      <c r="B310" s="88"/>
    </row>
    <row r="311" ht="14.25" customHeight="1" spans="1:2" x14ac:dyDescent="0.25">
      <c r="B311" s="88"/>
    </row>
    <row r="312" ht="14.25" customHeight="1" spans="1:2" x14ac:dyDescent="0.25">
      <c r="B312" s="88"/>
    </row>
    <row r="313" ht="14.25" customHeight="1" spans="1:2" x14ac:dyDescent="0.25">
      <c r="B313" s="88"/>
    </row>
    <row r="314" ht="14.25" customHeight="1" spans="1:2" x14ac:dyDescent="0.25">
      <c r="B314" s="88"/>
    </row>
    <row r="315" ht="14.25" customHeight="1" spans="1:2" x14ac:dyDescent="0.25">
      <c r="B315" s="88"/>
    </row>
    <row r="316" ht="14.25" customHeight="1" spans="1:2" x14ac:dyDescent="0.25">
      <c r="B316" s="88"/>
    </row>
    <row r="317" ht="14.25" customHeight="1" spans="1:2" x14ac:dyDescent="0.25">
      <c r="B317" s="88"/>
    </row>
    <row r="318" ht="14.25" customHeight="1" spans="1:2" x14ac:dyDescent="0.25">
      <c r="B318" s="88"/>
    </row>
    <row r="319" ht="14.25" customHeight="1" spans="1:2" x14ac:dyDescent="0.25">
      <c r="B319" s="88"/>
    </row>
    <row r="320" ht="14.25" customHeight="1" spans="1:2" x14ac:dyDescent="0.25">
      <c r="B320" s="88"/>
    </row>
    <row r="321" ht="14.25" customHeight="1" spans="1:2" x14ac:dyDescent="0.25">
      <c r="B321" s="88"/>
    </row>
    <row r="322" ht="14.25" customHeight="1" spans="1:2" x14ac:dyDescent="0.25">
      <c r="B322" s="88"/>
    </row>
    <row r="323" ht="14.25" customHeight="1" spans="1:2" x14ac:dyDescent="0.25">
      <c r="B323" s="88"/>
    </row>
    <row r="324" ht="14.25" customHeight="1" spans="1:2" x14ac:dyDescent="0.25">
      <c r="B324" s="88"/>
    </row>
    <row r="325" ht="14.25" customHeight="1" spans="1:2" x14ac:dyDescent="0.25">
      <c r="B325" s="88"/>
    </row>
    <row r="326" ht="14.25" customHeight="1" spans="1:2" x14ac:dyDescent="0.25">
      <c r="B326" s="88"/>
    </row>
    <row r="327" ht="14.25" customHeight="1" spans="1:2" x14ac:dyDescent="0.25">
      <c r="B327" s="88"/>
    </row>
    <row r="328" ht="14.25" customHeight="1" spans="1:2" x14ac:dyDescent="0.25">
      <c r="B328" s="88"/>
    </row>
    <row r="329" ht="14.25" customHeight="1" spans="1:2" x14ac:dyDescent="0.25">
      <c r="B329" s="88"/>
    </row>
    <row r="330" ht="14.25" customHeight="1" spans="1:2" x14ac:dyDescent="0.25">
      <c r="B330" s="88"/>
    </row>
    <row r="331" ht="14.25" customHeight="1" spans="1:2" x14ac:dyDescent="0.25">
      <c r="B331" s="88"/>
    </row>
    <row r="332" ht="14.25" customHeight="1" spans="1:2" x14ac:dyDescent="0.25">
      <c r="B332" s="88"/>
    </row>
    <row r="333" ht="14.25" customHeight="1" spans="1:2" x14ac:dyDescent="0.25">
      <c r="B333" s="88"/>
    </row>
    <row r="334" ht="14.25" customHeight="1" spans="1:2" x14ac:dyDescent="0.25">
      <c r="B334" s="88"/>
    </row>
    <row r="335" ht="14.25" customHeight="1" spans="1:2" x14ac:dyDescent="0.25">
      <c r="B335" s="88"/>
    </row>
    <row r="336" ht="14.25" customHeight="1" spans="1:2" x14ac:dyDescent="0.25">
      <c r="B336" s="88"/>
    </row>
    <row r="337" ht="14.25" customHeight="1" spans="1:2" x14ac:dyDescent="0.25">
      <c r="B337" s="88"/>
    </row>
    <row r="338" ht="14.25" customHeight="1" spans="1:2" x14ac:dyDescent="0.25">
      <c r="B338" s="88"/>
    </row>
    <row r="339" ht="14.25" customHeight="1" spans="1:2" x14ac:dyDescent="0.25">
      <c r="B339" s="88"/>
    </row>
    <row r="340" ht="14.25" customHeight="1" spans="1:2" x14ac:dyDescent="0.25">
      <c r="B340" s="88"/>
    </row>
    <row r="341" ht="14.25" customHeight="1" spans="1:2" x14ac:dyDescent="0.25">
      <c r="B341" s="88"/>
    </row>
    <row r="342" ht="14.25" customHeight="1" spans="1:2" x14ac:dyDescent="0.25">
      <c r="B342" s="88"/>
    </row>
    <row r="343" ht="14.25" customHeight="1" spans="1:2" x14ac:dyDescent="0.25">
      <c r="B343" s="88"/>
    </row>
    <row r="344" ht="14.25" customHeight="1" spans="1:2" x14ac:dyDescent="0.25">
      <c r="B344" s="88"/>
    </row>
    <row r="345" ht="14.25" customHeight="1" spans="1:2" x14ac:dyDescent="0.25">
      <c r="B345" s="88"/>
    </row>
    <row r="346" ht="14.25" customHeight="1" spans="1:2" x14ac:dyDescent="0.25">
      <c r="B346" s="88"/>
    </row>
    <row r="347" ht="14.25" customHeight="1" spans="1:2" x14ac:dyDescent="0.25">
      <c r="B347" s="88"/>
    </row>
    <row r="348" ht="14.25" customHeight="1" spans="1:2" x14ac:dyDescent="0.25">
      <c r="B348" s="88"/>
    </row>
    <row r="349" ht="14.25" customHeight="1" spans="1:2" x14ac:dyDescent="0.25">
      <c r="B349" s="88"/>
    </row>
    <row r="350" ht="14.25" customHeight="1" spans="1:2" x14ac:dyDescent="0.25">
      <c r="B350" s="88"/>
    </row>
    <row r="351" ht="14.25" customHeight="1" spans="1:2" x14ac:dyDescent="0.25">
      <c r="B351" s="88"/>
    </row>
    <row r="352" ht="14.25" customHeight="1" spans="1:2" x14ac:dyDescent="0.25">
      <c r="B352" s="88"/>
    </row>
    <row r="353" ht="14.25" customHeight="1" spans="1:2" x14ac:dyDescent="0.25">
      <c r="B353" s="88"/>
    </row>
    <row r="354" ht="14.25" customHeight="1" spans="1:2" x14ac:dyDescent="0.25">
      <c r="B354" s="88"/>
    </row>
    <row r="355" ht="14.25" customHeight="1" spans="1:2" x14ac:dyDescent="0.25">
      <c r="B355" s="88"/>
    </row>
    <row r="356" ht="14.25" customHeight="1" spans="1:2" x14ac:dyDescent="0.25">
      <c r="B356" s="88"/>
    </row>
    <row r="357" ht="14.25" customHeight="1" spans="1:2" x14ac:dyDescent="0.25">
      <c r="B357" s="88"/>
    </row>
    <row r="358" ht="14.25" customHeight="1" spans="1:2" x14ac:dyDescent="0.25">
      <c r="B358" s="88"/>
    </row>
    <row r="359" ht="14.25" customHeight="1" spans="1:2" x14ac:dyDescent="0.25">
      <c r="B359" s="88"/>
    </row>
    <row r="360" ht="14.25" customHeight="1" spans="1:2" x14ac:dyDescent="0.25">
      <c r="B360" s="88"/>
    </row>
    <row r="361" ht="14.25" customHeight="1" spans="1:2" x14ac:dyDescent="0.25">
      <c r="B361" s="88"/>
    </row>
    <row r="362" ht="14.25" customHeight="1" spans="1:2" x14ac:dyDescent="0.25">
      <c r="B362" s="88"/>
    </row>
    <row r="363" ht="14.25" customHeight="1" spans="1:2" x14ac:dyDescent="0.25">
      <c r="B363" s="88"/>
    </row>
    <row r="364" ht="14.25" customHeight="1" spans="1:2" x14ac:dyDescent="0.25">
      <c r="B364" s="88"/>
    </row>
    <row r="365" ht="14.25" customHeight="1" spans="1:2" x14ac:dyDescent="0.25">
      <c r="B365" s="88"/>
    </row>
    <row r="366" ht="14.25" customHeight="1" spans="1:2" x14ac:dyDescent="0.25">
      <c r="B366" s="88"/>
    </row>
    <row r="367" ht="14.25" customHeight="1" spans="1:2" x14ac:dyDescent="0.25">
      <c r="B367" s="88"/>
    </row>
    <row r="368" ht="14.25" customHeight="1" spans="1:2" x14ac:dyDescent="0.25">
      <c r="B368" s="88"/>
    </row>
    <row r="369" ht="14.25" customHeight="1" spans="1:2" x14ac:dyDescent="0.25">
      <c r="B369" s="88"/>
    </row>
    <row r="370" ht="14.25" customHeight="1" spans="1:2" x14ac:dyDescent="0.25">
      <c r="B370" s="88"/>
    </row>
    <row r="371" ht="14.25" customHeight="1" spans="1:2" x14ac:dyDescent="0.25">
      <c r="B371" s="88"/>
    </row>
    <row r="372" ht="14.25" customHeight="1" spans="1:2" x14ac:dyDescent="0.25">
      <c r="B372" s="88"/>
    </row>
    <row r="373" ht="14.25" customHeight="1" spans="1:2" x14ac:dyDescent="0.25">
      <c r="B373" s="88"/>
    </row>
    <row r="374" ht="14.25" customHeight="1" spans="1:2" x14ac:dyDescent="0.25">
      <c r="B374" s="88"/>
    </row>
    <row r="375" ht="14.25" customHeight="1" spans="1:2" x14ac:dyDescent="0.25">
      <c r="B375" s="88"/>
    </row>
    <row r="376" ht="14.25" customHeight="1" spans="1:2" x14ac:dyDescent="0.25">
      <c r="B376" s="88"/>
    </row>
    <row r="377" ht="14.25" customHeight="1" spans="1:2" x14ac:dyDescent="0.25">
      <c r="B377" s="88"/>
    </row>
    <row r="378" ht="14.25" customHeight="1" spans="1:2" x14ac:dyDescent="0.25">
      <c r="B378" s="88"/>
    </row>
    <row r="379" ht="14.25" customHeight="1" spans="1:2" x14ac:dyDescent="0.25">
      <c r="B379" s="88"/>
    </row>
    <row r="380" ht="14.25" customHeight="1" spans="1:2" x14ac:dyDescent="0.25">
      <c r="B380" s="88"/>
    </row>
    <row r="381" ht="14.25" customHeight="1" spans="1:2" x14ac:dyDescent="0.25">
      <c r="B381" s="88"/>
    </row>
    <row r="382" ht="14.25" customHeight="1" spans="1:2" x14ac:dyDescent="0.25">
      <c r="B382" s="88"/>
    </row>
    <row r="383" ht="14.25" customHeight="1" spans="1:2" x14ac:dyDescent="0.25">
      <c r="B383" s="88"/>
    </row>
    <row r="384" ht="14.25" customHeight="1" spans="1:2" x14ac:dyDescent="0.25">
      <c r="B384" s="88"/>
    </row>
    <row r="385" ht="14.25" customHeight="1" spans="1:2" x14ac:dyDescent="0.25">
      <c r="B385" s="88"/>
    </row>
    <row r="386" ht="14.25" customHeight="1" spans="1:2" x14ac:dyDescent="0.25">
      <c r="B386" s="88"/>
    </row>
    <row r="387" ht="14.25" customHeight="1" spans="1:2" x14ac:dyDescent="0.25">
      <c r="B387" s="88"/>
    </row>
    <row r="388" ht="14.25" customHeight="1" spans="1:2" x14ac:dyDescent="0.25">
      <c r="B388" s="88"/>
    </row>
    <row r="389" ht="14.25" customHeight="1" spans="1:2" x14ac:dyDescent="0.25">
      <c r="B389" s="88"/>
    </row>
    <row r="390" ht="14.25" customHeight="1" spans="1:2" x14ac:dyDescent="0.25">
      <c r="B390" s="88"/>
    </row>
    <row r="391" ht="14.25" customHeight="1" spans="1:2" x14ac:dyDescent="0.25">
      <c r="B391" s="88"/>
    </row>
    <row r="392" ht="14.25" customHeight="1" spans="1:2" x14ac:dyDescent="0.25">
      <c r="B392" s="88"/>
    </row>
    <row r="393" ht="14.25" customHeight="1" spans="1:2" x14ac:dyDescent="0.25">
      <c r="B393" s="88"/>
    </row>
    <row r="394" ht="14.25" customHeight="1" spans="1:2" x14ac:dyDescent="0.25">
      <c r="B394" s="88"/>
    </row>
    <row r="395" ht="14.25" customHeight="1" spans="1:2" x14ac:dyDescent="0.25">
      <c r="B395" s="88"/>
    </row>
    <row r="396" ht="14.25" customHeight="1" spans="1:2" x14ac:dyDescent="0.25">
      <c r="B396" s="88"/>
    </row>
    <row r="397" ht="14.25" customHeight="1" spans="1:2" x14ac:dyDescent="0.25">
      <c r="B397" s="88"/>
    </row>
    <row r="398" ht="14.25" customHeight="1" spans="1:2" x14ac:dyDescent="0.25">
      <c r="B398" s="88"/>
    </row>
    <row r="399" ht="14.25" customHeight="1" spans="1:2" x14ac:dyDescent="0.25">
      <c r="B399" s="88"/>
    </row>
    <row r="400" ht="14.25" customHeight="1" spans="1:2" x14ac:dyDescent="0.25">
      <c r="B400" s="88"/>
    </row>
    <row r="401" ht="14.25" customHeight="1" spans="1:2" x14ac:dyDescent="0.25">
      <c r="B401" s="88"/>
    </row>
    <row r="402" ht="14.25" customHeight="1" spans="1:2" x14ac:dyDescent="0.25">
      <c r="B402" s="88"/>
    </row>
    <row r="403" ht="14.25" customHeight="1" spans="1:2" x14ac:dyDescent="0.25">
      <c r="B403" s="88"/>
    </row>
    <row r="404" ht="14.25" customHeight="1" spans="1:2" x14ac:dyDescent="0.25">
      <c r="B404" s="88"/>
    </row>
    <row r="405" ht="14.25" customHeight="1" spans="1:2" x14ac:dyDescent="0.25">
      <c r="B405" s="88"/>
    </row>
    <row r="406" ht="14.25" customHeight="1" spans="1:2" x14ac:dyDescent="0.25">
      <c r="B406" s="88"/>
    </row>
    <row r="407" ht="14.25" customHeight="1" spans="1:2" x14ac:dyDescent="0.25">
      <c r="B407" s="88"/>
    </row>
    <row r="408" ht="14.25" customHeight="1" spans="1:2" x14ac:dyDescent="0.25">
      <c r="B408" s="88"/>
    </row>
    <row r="409" ht="14.25" customHeight="1" spans="1:2" x14ac:dyDescent="0.25">
      <c r="B409" s="88"/>
    </row>
    <row r="410" ht="14.25" customHeight="1" spans="1:2" x14ac:dyDescent="0.25">
      <c r="B410" s="88"/>
    </row>
    <row r="411" ht="14.25" customHeight="1" spans="1:2" x14ac:dyDescent="0.25">
      <c r="B411" s="88"/>
    </row>
    <row r="412" ht="14.25" customHeight="1" spans="1:2" x14ac:dyDescent="0.25">
      <c r="B412" s="88"/>
    </row>
    <row r="413" ht="14.25" customHeight="1" spans="1:2" x14ac:dyDescent="0.25">
      <c r="B413" s="88"/>
    </row>
    <row r="414" ht="14.25" customHeight="1" spans="1:2" x14ac:dyDescent="0.25">
      <c r="B414" s="88"/>
    </row>
    <row r="415" ht="14.25" customHeight="1" spans="1:2" x14ac:dyDescent="0.25">
      <c r="B415" s="88"/>
    </row>
    <row r="416" ht="14.25" customHeight="1" spans="1:2" x14ac:dyDescent="0.25">
      <c r="B416" s="88"/>
    </row>
    <row r="417" ht="14.25" customHeight="1" spans="1:2" x14ac:dyDescent="0.25">
      <c r="B417" s="88"/>
    </row>
    <row r="418" ht="14.25" customHeight="1" spans="1:2" x14ac:dyDescent="0.25">
      <c r="B418" s="88"/>
    </row>
    <row r="419" ht="14.25" customHeight="1" spans="1:2" x14ac:dyDescent="0.25">
      <c r="B419" s="88"/>
    </row>
    <row r="420" ht="14.25" customHeight="1" spans="1:2" x14ac:dyDescent="0.25">
      <c r="B420" s="88"/>
    </row>
    <row r="421" ht="14.25" customHeight="1" spans="1:2" x14ac:dyDescent="0.25">
      <c r="B421" s="88"/>
    </row>
    <row r="422" ht="14.25" customHeight="1" spans="1:2" x14ac:dyDescent="0.25">
      <c r="B422" s="88"/>
    </row>
    <row r="423" ht="14.25" customHeight="1" spans="1:2" x14ac:dyDescent="0.25">
      <c r="B423" s="88"/>
    </row>
    <row r="424" ht="14.25" customHeight="1" spans="1:2" x14ac:dyDescent="0.25">
      <c r="B424" s="88"/>
    </row>
    <row r="425" ht="14.25" customHeight="1" spans="1:2" x14ac:dyDescent="0.25">
      <c r="B425" s="88"/>
    </row>
    <row r="426" ht="14.25" customHeight="1" spans="1:2" x14ac:dyDescent="0.25">
      <c r="B426" s="88"/>
    </row>
    <row r="427" ht="14.25" customHeight="1" spans="1:2" x14ac:dyDescent="0.25">
      <c r="B427" s="88"/>
    </row>
    <row r="428" ht="14.25" customHeight="1" spans="1:2" x14ac:dyDescent="0.25">
      <c r="B428" s="88"/>
    </row>
    <row r="429" ht="14.25" customHeight="1" spans="1:2" x14ac:dyDescent="0.25">
      <c r="B429" s="88"/>
    </row>
    <row r="430" ht="14.25" customHeight="1" spans="1:2" x14ac:dyDescent="0.25">
      <c r="B430" s="88"/>
    </row>
    <row r="431" ht="14.25" customHeight="1" spans="1:2" x14ac:dyDescent="0.25">
      <c r="B431" s="88"/>
    </row>
    <row r="432" ht="14.25" customHeight="1" spans="1:2" x14ac:dyDescent="0.25">
      <c r="B432" s="88"/>
    </row>
    <row r="433" ht="14.25" customHeight="1" spans="1:2" x14ac:dyDescent="0.25">
      <c r="B433" s="88"/>
    </row>
    <row r="434" ht="14.25" customHeight="1" spans="1:2" x14ac:dyDescent="0.25">
      <c r="B434" s="88"/>
    </row>
    <row r="435" ht="14.25" customHeight="1" spans="1:2" x14ac:dyDescent="0.25">
      <c r="B435" s="88"/>
    </row>
    <row r="436" ht="14.25" customHeight="1" spans="1:2" x14ac:dyDescent="0.25">
      <c r="B436" s="88"/>
    </row>
    <row r="437" ht="14.25" customHeight="1" spans="1:2" x14ac:dyDescent="0.25">
      <c r="B437" s="88"/>
    </row>
    <row r="438" ht="14.25" customHeight="1" spans="1:2" x14ac:dyDescent="0.25">
      <c r="B438" s="88"/>
    </row>
    <row r="439" ht="14.25" customHeight="1" spans="1:2" x14ac:dyDescent="0.25">
      <c r="B439" s="88"/>
    </row>
    <row r="440" ht="14.25" customHeight="1" spans="1:2" x14ac:dyDescent="0.25">
      <c r="B440" s="88"/>
    </row>
    <row r="441" ht="14.25" customHeight="1" spans="1:2" x14ac:dyDescent="0.25">
      <c r="B441" s="88"/>
    </row>
    <row r="442" ht="14.25" customHeight="1" spans="1:2" x14ac:dyDescent="0.25">
      <c r="B442" s="88"/>
    </row>
    <row r="443" ht="14.25" customHeight="1" spans="1:2" x14ac:dyDescent="0.25">
      <c r="B443" s="88"/>
    </row>
    <row r="444" ht="14.25" customHeight="1" spans="1:2" x14ac:dyDescent="0.25">
      <c r="B444" s="88"/>
    </row>
    <row r="445" ht="14.25" customHeight="1" spans="1:2" x14ac:dyDescent="0.25">
      <c r="B445" s="88"/>
    </row>
    <row r="446" ht="14.25" customHeight="1" spans="1:2" x14ac:dyDescent="0.25">
      <c r="B446" s="88"/>
    </row>
    <row r="447" ht="14.25" customHeight="1" spans="1:2" x14ac:dyDescent="0.25">
      <c r="B447" s="88"/>
    </row>
    <row r="448" ht="14.25" customHeight="1" spans="1:2" x14ac:dyDescent="0.25">
      <c r="B448" s="88"/>
    </row>
    <row r="449" ht="14.25" customHeight="1" spans="1:2" x14ac:dyDescent="0.25">
      <c r="B449" s="88"/>
    </row>
    <row r="450" ht="14.25" customHeight="1" spans="1:2" x14ac:dyDescent="0.25">
      <c r="B450" s="88"/>
    </row>
    <row r="451" ht="14.25" customHeight="1" spans="1:2" x14ac:dyDescent="0.25">
      <c r="B451" s="88"/>
    </row>
    <row r="452" ht="14.25" customHeight="1" spans="1:2" x14ac:dyDescent="0.25">
      <c r="B452" s="88"/>
    </row>
    <row r="453" ht="14.25" customHeight="1" spans="1:2" x14ac:dyDescent="0.25">
      <c r="B453" s="88"/>
    </row>
    <row r="454" ht="14.25" customHeight="1" spans="1:2" x14ac:dyDescent="0.25">
      <c r="B454" s="88"/>
    </row>
    <row r="455" ht="14.25" customHeight="1" spans="1:2" x14ac:dyDescent="0.25">
      <c r="B455" s="88"/>
    </row>
    <row r="456" ht="14.25" customHeight="1" spans="1:2" x14ac:dyDescent="0.25">
      <c r="B456" s="88"/>
    </row>
    <row r="457" ht="14.25" customHeight="1" spans="1:2" x14ac:dyDescent="0.25">
      <c r="B457" s="88"/>
    </row>
    <row r="458" ht="14.25" customHeight="1" spans="1:2" x14ac:dyDescent="0.25">
      <c r="B458" s="88"/>
    </row>
    <row r="459" ht="14.25" customHeight="1" spans="1:2" x14ac:dyDescent="0.25">
      <c r="B459" s="88"/>
    </row>
    <row r="460" ht="14.25" customHeight="1" spans="1:2" x14ac:dyDescent="0.25">
      <c r="B460" s="88"/>
    </row>
    <row r="461" ht="14.25" customHeight="1" spans="1:2" x14ac:dyDescent="0.25">
      <c r="B461" s="88"/>
    </row>
    <row r="462" ht="14.25" customHeight="1" spans="1:2" x14ac:dyDescent="0.25">
      <c r="B462" s="88"/>
    </row>
    <row r="463" ht="14.25" customHeight="1" spans="1:2" x14ac:dyDescent="0.25">
      <c r="B463" s="88"/>
    </row>
    <row r="464" ht="14.25" customHeight="1" spans="1:2" x14ac:dyDescent="0.25">
      <c r="B464" s="88"/>
    </row>
    <row r="465" ht="14.25" customHeight="1" spans="1:2" x14ac:dyDescent="0.25">
      <c r="B465" s="88"/>
    </row>
    <row r="466" ht="14.25" customHeight="1" spans="1:2" x14ac:dyDescent="0.25">
      <c r="B466" s="88"/>
    </row>
    <row r="467" ht="14.25" customHeight="1" spans="1:2" x14ac:dyDescent="0.25">
      <c r="B467" s="88"/>
    </row>
    <row r="468" ht="14.25" customHeight="1" spans="1:2" x14ac:dyDescent="0.25">
      <c r="B468" s="88"/>
    </row>
    <row r="469" ht="14.25" customHeight="1" spans="1:2" x14ac:dyDescent="0.25">
      <c r="B469" s="88"/>
    </row>
    <row r="470" ht="14.25" customHeight="1" spans="1:2" x14ac:dyDescent="0.25">
      <c r="B470" s="88"/>
    </row>
    <row r="471" ht="14.25" customHeight="1" spans="1:2" x14ac:dyDescent="0.25">
      <c r="B471" s="88"/>
    </row>
    <row r="472" ht="14.25" customHeight="1" spans="1:2" x14ac:dyDescent="0.25">
      <c r="B472" s="88"/>
    </row>
    <row r="473" ht="14.25" customHeight="1" spans="1:2" x14ac:dyDescent="0.25">
      <c r="B473" s="88"/>
    </row>
    <row r="474" ht="14.25" customHeight="1" spans="1:2" x14ac:dyDescent="0.25">
      <c r="B474" s="88"/>
    </row>
    <row r="475" ht="14.25" customHeight="1" spans="1:2" x14ac:dyDescent="0.25">
      <c r="B475" s="88"/>
    </row>
    <row r="476" ht="14.25" customHeight="1" spans="1:2" x14ac:dyDescent="0.25">
      <c r="B476" s="88"/>
    </row>
    <row r="477" ht="14.25" customHeight="1" spans="1:2" x14ac:dyDescent="0.25">
      <c r="B477" s="88"/>
    </row>
    <row r="478" ht="14.25" customHeight="1" spans="1:2" x14ac:dyDescent="0.25">
      <c r="B478" s="88"/>
    </row>
    <row r="479" ht="14.25" customHeight="1" spans="1:2" x14ac:dyDescent="0.25">
      <c r="B479" s="88"/>
    </row>
    <row r="480" ht="14.25" customHeight="1" spans="1:2" x14ac:dyDescent="0.25">
      <c r="B480" s="88"/>
    </row>
    <row r="481" ht="14.25" customHeight="1" spans="1:2" x14ac:dyDescent="0.25">
      <c r="B481" s="88"/>
    </row>
    <row r="482" ht="14.25" customHeight="1" spans="1:2" x14ac:dyDescent="0.25">
      <c r="B482" s="88"/>
    </row>
    <row r="483" ht="14.25" customHeight="1" spans="1:2" x14ac:dyDescent="0.25">
      <c r="B483" s="88"/>
    </row>
    <row r="484" ht="14.25" customHeight="1" spans="1:2" x14ac:dyDescent="0.25">
      <c r="B484" s="88"/>
    </row>
    <row r="485" ht="14.25" customHeight="1" spans="1:2" x14ac:dyDescent="0.25">
      <c r="B485" s="88"/>
    </row>
    <row r="486" ht="14.25" customHeight="1" spans="1:2" x14ac:dyDescent="0.25">
      <c r="B486" s="88"/>
    </row>
    <row r="487" ht="14.25" customHeight="1" spans="1:2" x14ac:dyDescent="0.25">
      <c r="B487" s="88"/>
    </row>
    <row r="488" ht="14.25" customHeight="1" spans="1:2" x14ac:dyDescent="0.25">
      <c r="B488" s="88"/>
    </row>
    <row r="489" ht="14.25" customHeight="1" spans="1:2" x14ac:dyDescent="0.25">
      <c r="B489" s="88"/>
    </row>
    <row r="490" ht="14.25" customHeight="1" spans="1:2" x14ac:dyDescent="0.25">
      <c r="B490" s="88"/>
    </row>
    <row r="491" ht="14.25" customHeight="1" spans="1:2" x14ac:dyDescent="0.25">
      <c r="B491" s="88"/>
    </row>
    <row r="492" ht="14.25" customHeight="1" spans="1:2" x14ac:dyDescent="0.25">
      <c r="B492" s="88"/>
    </row>
    <row r="493" ht="14.25" customHeight="1" spans="1:2" x14ac:dyDescent="0.25">
      <c r="B493" s="88"/>
    </row>
    <row r="494" ht="14.25" customHeight="1" spans="1:2" x14ac:dyDescent="0.25">
      <c r="B494" s="88"/>
    </row>
    <row r="495" ht="14.25" customHeight="1" spans="1:2" x14ac:dyDescent="0.25">
      <c r="B495" s="88"/>
    </row>
    <row r="496" ht="14.25" customHeight="1" spans="1:2" x14ac:dyDescent="0.25">
      <c r="B496" s="88"/>
    </row>
    <row r="497" ht="14.25" customHeight="1" spans="1:2" x14ac:dyDescent="0.25">
      <c r="B497" s="88"/>
    </row>
    <row r="498" ht="14.25" customHeight="1" spans="1:2" x14ac:dyDescent="0.25">
      <c r="B498" s="88"/>
    </row>
    <row r="499" ht="14.25" customHeight="1" spans="1:2" x14ac:dyDescent="0.25">
      <c r="B499" s="88"/>
    </row>
    <row r="500" ht="14.25" customHeight="1" spans="1:2" x14ac:dyDescent="0.25">
      <c r="B500" s="88"/>
    </row>
    <row r="501" ht="14.25" customHeight="1" spans="1:2" x14ac:dyDescent="0.25">
      <c r="B501" s="88"/>
    </row>
    <row r="502" ht="14.25" customHeight="1" spans="1:2" x14ac:dyDescent="0.25">
      <c r="B502" s="88"/>
    </row>
    <row r="503" ht="14.25" customHeight="1" spans="1:2" x14ac:dyDescent="0.25">
      <c r="B503" s="88"/>
    </row>
    <row r="504" ht="14.25" customHeight="1" spans="1:2" x14ac:dyDescent="0.25">
      <c r="B504" s="88"/>
    </row>
    <row r="505" ht="14.25" customHeight="1" spans="1:2" x14ac:dyDescent="0.25">
      <c r="B505" s="88"/>
    </row>
    <row r="506" ht="14.25" customHeight="1" spans="1:2" x14ac:dyDescent="0.25">
      <c r="B506" s="88"/>
    </row>
    <row r="507" ht="14.25" customHeight="1" spans="1:2" x14ac:dyDescent="0.25">
      <c r="B507" s="88"/>
    </row>
    <row r="508" ht="14.25" customHeight="1" spans="1:2" x14ac:dyDescent="0.25">
      <c r="B508" s="88"/>
    </row>
    <row r="509" ht="14.25" customHeight="1" spans="1:2" x14ac:dyDescent="0.25">
      <c r="B509" s="88"/>
    </row>
    <row r="510" ht="14.25" customHeight="1" spans="1:2" x14ac:dyDescent="0.25">
      <c r="B510" s="88"/>
    </row>
    <row r="511" ht="14.25" customHeight="1" spans="1:2" x14ac:dyDescent="0.25">
      <c r="B511" s="88"/>
    </row>
    <row r="512" ht="14.25" customHeight="1" spans="1:2" x14ac:dyDescent="0.25">
      <c r="B512" s="88"/>
    </row>
    <row r="513" ht="14.25" customHeight="1" spans="1:2" x14ac:dyDescent="0.25">
      <c r="B513" s="88"/>
    </row>
    <row r="514" ht="14.25" customHeight="1" spans="1:2" x14ac:dyDescent="0.25">
      <c r="B514" s="88"/>
    </row>
    <row r="515" ht="14.25" customHeight="1" spans="1:2" x14ac:dyDescent="0.25">
      <c r="B515" s="88"/>
    </row>
    <row r="516" ht="14.25" customHeight="1" spans="1:2" x14ac:dyDescent="0.25">
      <c r="B516" s="88"/>
    </row>
    <row r="517" ht="14.25" customHeight="1" spans="1:2" x14ac:dyDescent="0.25">
      <c r="B517" s="88"/>
    </row>
    <row r="518" ht="14.25" customHeight="1" spans="1:2" x14ac:dyDescent="0.25">
      <c r="B518" s="88"/>
    </row>
    <row r="519" ht="14.25" customHeight="1" spans="1:2" x14ac:dyDescent="0.25">
      <c r="B519" s="88"/>
    </row>
    <row r="520" ht="14.25" customHeight="1" spans="1:2" x14ac:dyDescent="0.25">
      <c r="B520" s="88"/>
    </row>
    <row r="521" ht="14.25" customHeight="1" spans="1:2" x14ac:dyDescent="0.25">
      <c r="B521" s="88"/>
    </row>
    <row r="522" ht="14.25" customHeight="1" spans="1:2" x14ac:dyDescent="0.25">
      <c r="B522" s="88"/>
    </row>
    <row r="523" ht="14.25" customHeight="1" spans="1:2" x14ac:dyDescent="0.25">
      <c r="B523" s="88"/>
    </row>
    <row r="524" ht="14.25" customHeight="1" spans="1:2" x14ac:dyDescent="0.25">
      <c r="B524" s="88"/>
    </row>
    <row r="525" ht="14.25" customHeight="1" spans="1:2" x14ac:dyDescent="0.25">
      <c r="B525" s="88"/>
    </row>
    <row r="526" ht="14.25" customHeight="1" spans="1:2" x14ac:dyDescent="0.25">
      <c r="B526" s="88"/>
    </row>
    <row r="527" ht="14.25" customHeight="1" spans="1:2" x14ac:dyDescent="0.25">
      <c r="B527" s="88"/>
    </row>
    <row r="528" ht="14.25" customHeight="1" spans="1:2" x14ac:dyDescent="0.25">
      <c r="B528" s="88"/>
    </row>
    <row r="529" ht="14.25" customHeight="1" spans="1:2" x14ac:dyDescent="0.25">
      <c r="B529" s="88"/>
    </row>
    <row r="530" ht="14.25" customHeight="1" spans="1:2" x14ac:dyDescent="0.25">
      <c r="B530" s="88"/>
    </row>
    <row r="531" ht="14.25" customHeight="1" spans="1:2" x14ac:dyDescent="0.25">
      <c r="B531" s="88"/>
    </row>
    <row r="532" ht="14.25" customHeight="1" spans="1:2" x14ac:dyDescent="0.25">
      <c r="B532" s="88"/>
    </row>
    <row r="533" ht="14.25" customHeight="1" spans="1:2" x14ac:dyDescent="0.25">
      <c r="B533" s="88"/>
    </row>
    <row r="534" ht="14.25" customHeight="1" spans="1:2" x14ac:dyDescent="0.25">
      <c r="B534" s="88"/>
    </row>
    <row r="535" ht="14.25" customHeight="1" spans="1:2" x14ac:dyDescent="0.25">
      <c r="B535" s="88"/>
    </row>
    <row r="536" ht="14.25" customHeight="1" spans="1:2" x14ac:dyDescent="0.25">
      <c r="B536" s="88"/>
    </row>
    <row r="537" ht="14.25" customHeight="1" spans="1:2" x14ac:dyDescent="0.25">
      <c r="B537" s="88"/>
    </row>
    <row r="538" ht="14.25" customHeight="1" spans="1:2" x14ac:dyDescent="0.25">
      <c r="B538" s="88"/>
    </row>
    <row r="539" ht="14.25" customHeight="1" spans="1:2" x14ac:dyDescent="0.25">
      <c r="B539" s="88"/>
    </row>
    <row r="540" ht="14.25" customHeight="1" spans="1:2" x14ac:dyDescent="0.25">
      <c r="B540" s="88"/>
    </row>
    <row r="541" ht="14.25" customHeight="1" spans="1:2" x14ac:dyDescent="0.25">
      <c r="B541" s="88"/>
    </row>
    <row r="542" ht="14.25" customHeight="1" spans="1:2" x14ac:dyDescent="0.25">
      <c r="B542" s="88"/>
    </row>
    <row r="543" ht="14.25" customHeight="1" spans="1:2" x14ac:dyDescent="0.25">
      <c r="B543" s="88"/>
    </row>
    <row r="544" ht="14.25" customHeight="1" spans="1:2" x14ac:dyDescent="0.25">
      <c r="B544" s="88"/>
    </row>
    <row r="545" ht="14.25" customHeight="1" spans="1:2" x14ac:dyDescent="0.25">
      <c r="B545" s="88"/>
    </row>
    <row r="546" ht="14.25" customHeight="1" spans="1:2" x14ac:dyDescent="0.25">
      <c r="B546" s="88"/>
    </row>
    <row r="547" ht="14.25" customHeight="1" spans="1:2" x14ac:dyDescent="0.25">
      <c r="B547" s="88"/>
    </row>
    <row r="548" ht="14.25" customHeight="1" spans="1:2" x14ac:dyDescent="0.25">
      <c r="B548" s="88"/>
    </row>
    <row r="549" ht="14.25" customHeight="1" spans="1:2" x14ac:dyDescent="0.25">
      <c r="B549" s="88"/>
    </row>
    <row r="550" ht="14.25" customHeight="1" spans="1:2" x14ac:dyDescent="0.25">
      <c r="B550" s="88"/>
    </row>
    <row r="551" ht="14.25" customHeight="1" spans="1:2" x14ac:dyDescent="0.25">
      <c r="B551" s="88"/>
    </row>
    <row r="552" ht="14.25" customHeight="1" spans="1:2" x14ac:dyDescent="0.25">
      <c r="B552" s="88"/>
    </row>
    <row r="553" ht="14.25" customHeight="1" spans="1:2" x14ac:dyDescent="0.25">
      <c r="B553" s="88"/>
    </row>
    <row r="554" ht="14.25" customHeight="1" spans="1:2" x14ac:dyDescent="0.25">
      <c r="B554" s="88"/>
    </row>
    <row r="555" ht="14.25" customHeight="1" spans="1:2" x14ac:dyDescent="0.25">
      <c r="B555" s="88"/>
    </row>
    <row r="556" ht="14.25" customHeight="1" spans="1:2" x14ac:dyDescent="0.25">
      <c r="B556" s="88"/>
    </row>
    <row r="557" ht="14.25" customHeight="1" spans="1:2" x14ac:dyDescent="0.25">
      <c r="B557" s="88"/>
    </row>
    <row r="558" ht="14.25" customHeight="1" spans="1:2" x14ac:dyDescent="0.25">
      <c r="B558" s="88"/>
    </row>
    <row r="559" ht="14.25" customHeight="1" spans="1:2" x14ac:dyDescent="0.25">
      <c r="B559" s="88"/>
    </row>
    <row r="560" ht="14.25" customHeight="1" spans="1:2" x14ac:dyDescent="0.25">
      <c r="B560" s="88"/>
    </row>
    <row r="561" ht="14.25" customHeight="1" spans="1:2" x14ac:dyDescent="0.25">
      <c r="B561" s="88"/>
    </row>
    <row r="562" ht="14.25" customHeight="1" spans="1:2" x14ac:dyDescent="0.25">
      <c r="B562" s="88"/>
    </row>
    <row r="563" ht="14.25" customHeight="1" spans="1:2" x14ac:dyDescent="0.25">
      <c r="B563" s="88"/>
    </row>
    <row r="564" ht="14.25" customHeight="1" spans="1:2" x14ac:dyDescent="0.25">
      <c r="B564" s="88"/>
    </row>
    <row r="565" ht="14.25" customHeight="1" spans="1:2" x14ac:dyDescent="0.25">
      <c r="B565" s="88"/>
    </row>
    <row r="566" ht="14.25" customHeight="1" spans="1:2" x14ac:dyDescent="0.25">
      <c r="B566" s="88"/>
    </row>
    <row r="567" ht="14.25" customHeight="1" spans="1:2" x14ac:dyDescent="0.25">
      <c r="B567" s="88"/>
    </row>
    <row r="568" ht="14.25" customHeight="1" spans="1:2" x14ac:dyDescent="0.25">
      <c r="B568" s="88"/>
    </row>
    <row r="569" ht="14.25" customHeight="1" spans="1:2" x14ac:dyDescent="0.25">
      <c r="B569" s="88"/>
    </row>
    <row r="570" ht="14.25" customHeight="1" spans="1:2" x14ac:dyDescent="0.25">
      <c r="B570" s="88"/>
    </row>
    <row r="571" ht="14.25" customHeight="1" spans="1:2" x14ac:dyDescent="0.25">
      <c r="B571" s="88"/>
    </row>
    <row r="572" ht="14.25" customHeight="1" spans="1:2" x14ac:dyDescent="0.25">
      <c r="B572" s="88"/>
    </row>
    <row r="573" ht="14.25" customHeight="1" spans="1:2" x14ac:dyDescent="0.25">
      <c r="B573" s="88"/>
    </row>
    <row r="574" ht="14.25" customHeight="1" spans="1:2" x14ac:dyDescent="0.25">
      <c r="B574" s="88"/>
    </row>
    <row r="575" ht="14.25" customHeight="1" spans="1:2" x14ac:dyDescent="0.25">
      <c r="B575" s="88"/>
    </row>
    <row r="576" ht="14.25" customHeight="1" spans="1:2" x14ac:dyDescent="0.25">
      <c r="B576" s="88"/>
    </row>
    <row r="577" ht="14.25" customHeight="1" spans="1:2" x14ac:dyDescent="0.25">
      <c r="B577" s="88"/>
    </row>
    <row r="578" ht="14.25" customHeight="1" spans="1:2" x14ac:dyDescent="0.25">
      <c r="B578" s="88"/>
    </row>
    <row r="579" ht="14.25" customHeight="1" spans="1:2" x14ac:dyDescent="0.25">
      <c r="B579" s="88"/>
    </row>
    <row r="580" ht="14.25" customHeight="1" spans="1:2" x14ac:dyDescent="0.25">
      <c r="B580" s="88"/>
    </row>
    <row r="581" ht="14.25" customHeight="1" spans="1:2" x14ac:dyDescent="0.25">
      <c r="B581" s="88"/>
    </row>
    <row r="582" ht="14.25" customHeight="1" spans="1:2" x14ac:dyDescent="0.25">
      <c r="B582" s="88"/>
    </row>
    <row r="583" ht="14.25" customHeight="1" spans="1:2" x14ac:dyDescent="0.25">
      <c r="B583" s="88"/>
    </row>
    <row r="584" ht="14.25" customHeight="1" spans="1:2" x14ac:dyDescent="0.25">
      <c r="B584" s="88"/>
    </row>
    <row r="585" ht="14.25" customHeight="1" spans="1:2" x14ac:dyDescent="0.25">
      <c r="B585" s="88"/>
    </row>
    <row r="586" ht="14.25" customHeight="1" spans="1:2" x14ac:dyDescent="0.25">
      <c r="B586" s="88"/>
    </row>
    <row r="587" ht="14.25" customHeight="1" spans="1:2" x14ac:dyDescent="0.25">
      <c r="B587" s="88"/>
    </row>
    <row r="588" ht="14.25" customHeight="1" spans="1:2" x14ac:dyDescent="0.25">
      <c r="B588" s="88"/>
    </row>
    <row r="589" ht="14.25" customHeight="1" spans="1:2" x14ac:dyDescent="0.25">
      <c r="B589" s="88"/>
    </row>
    <row r="590" ht="14.25" customHeight="1" spans="1:2" x14ac:dyDescent="0.25">
      <c r="B590" s="88"/>
    </row>
    <row r="591" ht="14.25" customHeight="1" spans="1:2" x14ac:dyDescent="0.25">
      <c r="B591" s="88"/>
    </row>
    <row r="592" ht="14.25" customHeight="1" spans="1:2" x14ac:dyDescent="0.25">
      <c r="B592" s="88"/>
    </row>
    <row r="593" ht="14.25" customHeight="1" spans="1:2" x14ac:dyDescent="0.25">
      <c r="B593" s="88"/>
    </row>
    <row r="594" ht="14.25" customHeight="1" spans="1:2" x14ac:dyDescent="0.25">
      <c r="B594" s="88"/>
    </row>
    <row r="595" ht="14.25" customHeight="1" spans="1:2" x14ac:dyDescent="0.25">
      <c r="B595" s="88"/>
    </row>
    <row r="596" ht="14.25" customHeight="1" spans="1:2" x14ac:dyDescent="0.25">
      <c r="B596" s="88"/>
    </row>
    <row r="597" ht="14.25" customHeight="1" spans="1:2" x14ac:dyDescent="0.25">
      <c r="B597" s="88"/>
    </row>
    <row r="598" ht="14.25" customHeight="1" spans="1:2" x14ac:dyDescent="0.25">
      <c r="B598" s="88"/>
    </row>
    <row r="599" ht="14.25" customHeight="1" spans="1:2" x14ac:dyDescent="0.25">
      <c r="B599" s="88"/>
    </row>
    <row r="600" ht="14.25" customHeight="1" spans="1:2" x14ac:dyDescent="0.25">
      <c r="B600" s="88"/>
    </row>
    <row r="601" ht="14.25" customHeight="1" spans="1:2" x14ac:dyDescent="0.25">
      <c r="B601" s="88"/>
    </row>
    <row r="602" ht="14.25" customHeight="1" spans="1:2" x14ac:dyDescent="0.25">
      <c r="B602" s="88"/>
    </row>
    <row r="603" ht="14.25" customHeight="1" spans="1:2" x14ac:dyDescent="0.25">
      <c r="B603" s="88"/>
    </row>
    <row r="604" ht="14.25" customHeight="1" spans="1:2" x14ac:dyDescent="0.25">
      <c r="B604" s="88"/>
    </row>
    <row r="605" ht="14.25" customHeight="1" spans="1:2" x14ac:dyDescent="0.25">
      <c r="B605" s="88"/>
    </row>
    <row r="606" ht="14.25" customHeight="1" spans="1:2" x14ac:dyDescent="0.25">
      <c r="B606" s="88"/>
    </row>
    <row r="607" ht="14.25" customHeight="1" spans="1:2" x14ac:dyDescent="0.25">
      <c r="B607" s="88"/>
    </row>
    <row r="608" ht="14.25" customHeight="1" spans="1:2" x14ac:dyDescent="0.25">
      <c r="B608" s="88"/>
    </row>
    <row r="609" ht="14.25" customHeight="1" spans="1:2" x14ac:dyDescent="0.25">
      <c r="B609" s="88"/>
    </row>
    <row r="610" ht="14.25" customHeight="1" spans="1:2" x14ac:dyDescent="0.25">
      <c r="B610" s="88"/>
    </row>
    <row r="611" ht="14.25" customHeight="1" spans="1:2" x14ac:dyDescent="0.25">
      <c r="B611" s="88"/>
    </row>
    <row r="612" ht="14.25" customHeight="1" spans="1:2" x14ac:dyDescent="0.25">
      <c r="B612" s="88"/>
    </row>
    <row r="613" ht="14.25" customHeight="1" spans="1:2" x14ac:dyDescent="0.25">
      <c r="B613" s="88"/>
    </row>
    <row r="614" ht="14.25" customHeight="1" spans="1:2" x14ac:dyDescent="0.25">
      <c r="B614" s="88"/>
    </row>
    <row r="615" ht="14.25" customHeight="1" spans="1:2" x14ac:dyDescent="0.25">
      <c r="B615" s="88"/>
    </row>
    <row r="616" ht="14.25" customHeight="1" spans="1:2" x14ac:dyDescent="0.25">
      <c r="B616" s="88"/>
    </row>
    <row r="617" ht="14.25" customHeight="1" spans="1:2" x14ac:dyDescent="0.25">
      <c r="B617" s="88"/>
    </row>
    <row r="618" ht="14.25" customHeight="1" spans="1:2" x14ac:dyDescent="0.25">
      <c r="B618" s="88"/>
    </row>
    <row r="619" ht="14.25" customHeight="1" spans="1:2" x14ac:dyDescent="0.25">
      <c r="B619" s="88"/>
    </row>
    <row r="620" ht="14.25" customHeight="1" spans="1:2" x14ac:dyDescent="0.25">
      <c r="B620" s="88"/>
    </row>
    <row r="621" ht="14.25" customHeight="1" spans="1:2" x14ac:dyDescent="0.25">
      <c r="B621" s="88"/>
    </row>
    <row r="622" ht="14.25" customHeight="1" spans="1:2" x14ac:dyDescent="0.25">
      <c r="B622" s="88"/>
    </row>
    <row r="623" ht="14.25" customHeight="1" spans="1:2" x14ac:dyDescent="0.25">
      <c r="B623" s="88"/>
    </row>
    <row r="624" ht="14.25" customHeight="1" spans="1:2" x14ac:dyDescent="0.25">
      <c r="B624" s="88"/>
    </row>
    <row r="625" ht="14.25" customHeight="1" spans="1:2" x14ac:dyDescent="0.25">
      <c r="B625" s="88"/>
    </row>
    <row r="626" ht="14.25" customHeight="1" spans="1:2" x14ac:dyDescent="0.25">
      <c r="B626" s="88"/>
    </row>
    <row r="627" ht="14.25" customHeight="1" spans="1:2" x14ac:dyDescent="0.25">
      <c r="B627" s="88"/>
    </row>
    <row r="628" ht="14.25" customHeight="1" spans="1:2" x14ac:dyDescent="0.25">
      <c r="B628" s="88"/>
    </row>
    <row r="629" ht="14.25" customHeight="1" spans="1:2" x14ac:dyDescent="0.25">
      <c r="B629" s="88"/>
    </row>
    <row r="630" ht="14.25" customHeight="1" spans="1:2" x14ac:dyDescent="0.25">
      <c r="B630" s="88"/>
    </row>
    <row r="631" ht="14.25" customHeight="1" spans="1:2" x14ac:dyDescent="0.25">
      <c r="B631" s="88"/>
    </row>
    <row r="632" ht="14.25" customHeight="1" spans="1:2" x14ac:dyDescent="0.25">
      <c r="B632" s="88"/>
    </row>
    <row r="633" ht="14.25" customHeight="1" spans="1:2" x14ac:dyDescent="0.25">
      <c r="B633" s="88"/>
    </row>
    <row r="634" ht="14.25" customHeight="1" spans="1:2" x14ac:dyDescent="0.25">
      <c r="B634" s="88"/>
    </row>
    <row r="635" ht="14.25" customHeight="1" spans="1:2" x14ac:dyDescent="0.25">
      <c r="B635" s="88"/>
    </row>
    <row r="636" ht="14.25" customHeight="1" spans="1:2" x14ac:dyDescent="0.25">
      <c r="B636" s="88"/>
    </row>
    <row r="637" ht="14.25" customHeight="1" spans="1:2" x14ac:dyDescent="0.25">
      <c r="B637" s="88"/>
    </row>
    <row r="638" ht="14.25" customHeight="1" spans="1:2" x14ac:dyDescent="0.25">
      <c r="B638" s="88"/>
    </row>
    <row r="639" ht="14.25" customHeight="1" spans="1:2" x14ac:dyDescent="0.25">
      <c r="B639" s="88"/>
    </row>
    <row r="640" ht="14.25" customHeight="1" spans="1:2" x14ac:dyDescent="0.25">
      <c r="B640" s="88"/>
    </row>
    <row r="641" ht="14.25" customHeight="1" spans="1:2" x14ac:dyDescent="0.25">
      <c r="B641" s="88"/>
    </row>
    <row r="642" ht="14.25" customHeight="1" spans="1:2" x14ac:dyDescent="0.25">
      <c r="B642" s="88"/>
    </row>
    <row r="643" ht="14.25" customHeight="1" spans="1:2" x14ac:dyDescent="0.25">
      <c r="B643" s="88"/>
    </row>
    <row r="644" ht="14.25" customHeight="1" spans="1:2" x14ac:dyDescent="0.25">
      <c r="B644" s="88"/>
    </row>
    <row r="645" ht="14.25" customHeight="1" spans="1:2" x14ac:dyDescent="0.25">
      <c r="B645" s="88"/>
    </row>
    <row r="646" ht="14.25" customHeight="1" spans="1:2" x14ac:dyDescent="0.25">
      <c r="B646" s="88"/>
    </row>
    <row r="647" ht="14.25" customHeight="1" spans="1:2" x14ac:dyDescent="0.25">
      <c r="B647" s="88"/>
    </row>
    <row r="648" ht="14.25" customHeight="1" spans="1:2" x14ac:dyDescent="0.25">
      <c r="B648" s="88"/>
    </row>
    <row r="649" ht="14.25" customHeight="1" spans="1:2" x14ac:dyDescent="0.25">
      <c r="B649" s="88"/>
    </row>
    <row r="650" ht="14.25" customHeight="1" spans="1:2" x14ac:dyDescent="0.25">
      <c r="B650" s="88"/>
    </row>
    <row r="651" ht="14.25" customHeight="1" spans="1:2" x14ac:dyDescent="0.25">
      <c r="B651" s="88"/>
    </row>
    <row r="652" ht="14.25" customHeight="1" spans="1:2" x14ac:dyDescent="0.25">
      <c r="B652" s="88"/>
    </row>
    <row r="653" ht="14.25" customHeight="1" spans="1:2" x14ac:dyDescent="0.25">
      <c r="B653" s="88"/>
    </row>
    <row r="654" ht="14.25" customHeight="1" spans="1:2" x14ac:dyDescent="0.25">
      <c r="B654" s="88"/>
    </row>
    <row r="655" ht="14.25" customHeight="1" spans="1:2" x14ac:dyDescent="0.25">
      <c r="B655" s="88"/>
    </row>
    <row r="656" ht="14.25" customHeight="1" spans="1:2" x14ac:dyDescent="0.25">
      <c r="B656" s="88"/>
    </row>
    <row r="657" ht="14.25" customHeight="1" spans="1:2" x14ac:dyDescent="0.25">
      <c r="B657" s="88"/>
    </row>
    <row r="658" ht="14.25" customHeight="1" spans="1:2" x14ac:dyDescent="0.25">
      <c r="B658" s="88"/>
    </row>
    <row r="659" ht="14.25" customHeight="1" spans="1:2" x14ac:dyDescent="0.25">
      <c r="B659" s="88"/>
    </row>
    <row r="660" ht="14.25" customHeight="1" spans="1:2" x14ac:dyDescent="0.25">
      <c r="B660" s="88"/>
    </row>
    <row r="661" ht="14.25" customHeight="1" spans="1:2" x14ac:dyDescent="0.25">
      <c r="B661" s="88"/>
    </row>
    <row r="662" ht="14.25" customHeight="1" spans="1:2" x14ac:dyDescent="0.25">
      <c r="B662" s="88"/>
    </row>
    <row r="663" ht="14.25" customHeight="1" spans="1:2" x14ac:dyDescent="0.25">
      <c r="B663" s="88"/>
    </row>
    <row r="664" ht="14.25" customHeight="1" spans="1:2" x14ac:dyDescent="0.25">
      <c r="B664" s="88"/>
    </row>
    <row r="665" ht="14.25" customHeight="1" spans="1:2" x14ac:dyDescent="0.25">
      <c r="B665" s="88"/>
    </row>
    <row r="666" ht="14.25" customHeight="1" spans="1:2" x14ac:dyDescent="0.25">
      <c r="B666" s="88"/>
    </row>
    <row r="667" ht="14.25" customHeight="1" spans="1:2" x14ac:dyDescent="0.25">
      <c r="B667" s="88"/>
    </row>
    <row r="668" ht="14.25" customHeight="1" spans="1:2" x14ac:dyDescent="0.25">
      <c r="B668" s="88"/>
    </row>
    <row r="669" ht="14.25" customHeight="1" spans="1:2" x14ac:dyDescent="0.25">
      <c r="B669" s="88"/>
    </row>
    <row r="670" ht="14.25" customHeight="1" spans="1:2" x14ac:dyDescent="0.25">
      <c r="B670" s="88"/>
    </row>
    <row r="671" ht="14.25" customHeight="1" spans="1:2" x14ac:dyDescent="0.25">
      <c r="B671" s="88"/>
    </row>
    <row r="672" ht="14.25" customHeight="1" spans="1:2" x14ac:dyDescent="0.25">
      <c r="B672" s="88"/>
    </row>
    <row r="673" ht="14.25" customHeight="1" spans="1:2" x14ac:dyDescent="0.25">
      <c r="B673" s="88"/>
    </row>
    <row r="674" ht="14.25" customHeight="1" spans="1:2" x14ac:dyDescent="0.25">
      <c r="B674" s="88"/>
    </row>
    <row r="675" ht="14.25" customHeight="1" spans="1:2" x14ac:dyDescent="0.25">
      <c r="B675" s="88"/>
    </row>
    <row r="676" ht="14.25" customHeight="1" spans="1:2" x14ac:dyDescent="0.25">
      <c r="B676" s="88"/>
    </row>
    <row r="677" ht="14.25" customHeight="1" spans="1:2" x14ac:dyDescent="0.25">
      <c r="B677" s="88"/>
    </row>
    <row r="678" ht="14.25" customHeight="1" spans="1:2" x14ac:dyDescent="0.25">
      <c r="B678" s="88"/>
    </row>
    <row r="679" ht="14.25" customHeight="1" spans="1:2" x14ac:dyDescent="0.25">
      <c r="B679" s="88"/>
    </row>
    <row r="680" ht="14.25" customHeight="1" spans="1:2" x14ac:dyDescent="0.25">
      <c r="B680" s="88"/>
    </row>
    <row r="681" ht="14.25" customHeight="1" spans="1:2" x14ac:dyDescent="0.25">
      <c r="B681" s="88"/>
    </row>
    <row r="682" ht="14.25" customHeight="1" spans="1:2" x14ac:dyDescent="0.25">
      <c r="B682" s="88"/>
    </row>
    <row r="683" ht="14.25" customHeight="1" spans="1:2" x14ac:dyDescent="0.25">
      <c r="B683" s="88"/>
    </row>
    <row r="684" ht="14.25" customHeight="1" spans="1:2" x14ac:dyDescent="0.25">
      <c r="B684" s="88"/>
    </row>
    <row r="685" ht="14.25" customHeight="1" spans="1:2" x14ac:dyDescent="0.25">
      <c r="B685" s="88"/>
    </row>
    <row r="686" ht="14.25" customHeight="1" spans="1:2" x14ac:dyDescent="0.25">
      <c r="B686" s="88"/>
    </row>
    <row r="687" ht="14.25" customHeight="1" spans="1:2" x14ac:dyDescent="0.25">
      <c r="B687" s="88"/>
    </row>
    <row r="688" ht="14.25" customHeight="1" spans="1:2" x14ac:dyDescent="0.25">
      <c r="B688" s="88"/>
    </row>
    <row r="689" ht="14.25" customHeight="1" spans="1:2" x14ac:dyDescent="0.25">
      <c r="B689" s="88"/>
    </row>
    <row r="690" ht="14.25" customHeight="1" spans="1:2" x14ac:dyDescent="0.25">
      <c r="B690" s="88"/>
    </row>
    <row r="691" ht="14.25" customHeight="1" spans="1:2" x14ac:dyDescent="0.25">
      <c r="B691" s="88"/>
    </row>
    <row r="692" ht="14.25" customHeight="1" spans="1:2" x14ac:dyDescent="0.25">
      <c r="B692" s="88"/>
    </row>
    <row r="693" ht="14.25" customHeight="1" spans="1:2" x14ac:dyDescent="0.25">
      <c r="B693" s="88"/>
    </row>
    <row r="694" ht="14.25" customHeight="1" spans="1:2" x14ac:dyDescent="0.25">
      <c r="B694" s="88"/>
    </row>
    <row r="695" ht="14.25" customHeight="1" spans="1:2" x14ac:dyDescent="0.25">
      <c r="B695" s="88"/>
    </row>
    <row r="696" ht="14.25" customHeight="1" spans="1:2" x14ac:dyDescent="0.25">
      <c r="B696" s="88"/>
    </row>
    <row r="697" ht="14.25" customHeight="1" spans="1:2" x14ac:dyDescent="0.25">
      <c r="B697" s="88"/>
    </row>
    <row r="698" ht="14.25" customHeight="1" spans="1:2" x14ac:dyDescent="0.25">
      <c r="B698" s="88"/>
    </row>
    <row r="699" ht="14.25" customHeight="1" spans="1:2" x14ac:dyDescent="0.25">
      <c r="B699" s="88"/>
    </row>
    <row r="700" ht="14.25" customHeight="1" spans="1:2" x14ac:dyDescent="0.25">
      <c r="B700" s="88"/>
    </row>
    <row r="701" ht="14.25" customHeight="1" spans="1:2" x14ac:dyDescent="0.25">
      <c r="B701" s="88"/>
    </row>
    <row r="702" ht="14.25" customHeight="1" spans="1:2" x14ac:dyDescent="0.25">
      <c r="B702" s="88"/>
    </row>
    <row r="703" ht="14.25" customHeight="1" spans="1:2" x14ac:dyDescent="0.25">
      <c r="B703" s="88"/>
    </row>
    <row r="704" ht="14.25" customHeight="1" spans="1:2" x14ac:dyDescent="0.25">
      <c r="B704" s="88"/>
    </row>
    <row r="705" ht="14.25" customHeight="1" spans="1:2" x14ac:dyDescent="0.25">
      <c r="B705" s="88"/>
    </row>
    <row r="706" ht="14.25" customHeight="1" spans="1:2" x14ac:dyDescent="0.25">
      <c r="B706" s="88"/>
    </row>
    <row r="707" ht="14.25" customHeight="1" spans="1:2" x14ac:dyDescent="0.25">
      <c r="B707" s="88"/>
    </row>
    <row r="708" ht="14.25" customHeight="1" spans="1:2" x14ac:dyDescent="0.25">
      <c r="B708" s="88"/>
    </row>
    <row r="709" ht="14.25" customHeight="1" spans="1:2" x14ac:dyDescent="0.25">
      <c r="B709" s="88"/>
    </row>
    <row r="710" ht="14.25" customHeight="1" spans="1:2" x14ac:dyDescent="0.25">
      <c r="B710" s="88"/>
    </row>
    <row r="711" ht="14.25" customHeight="1" spans="1:2" x14ac:dyDescent="0.25">
      <c r="B711" s="88"/>
    </row>
    <row r="712" ht="14.25" customHeight="1" spans="1:2" x14ac:dyDescent="0.25">
      <c r="B712" s="88"/>
    </row>
    <row r="713" ht="14.25" customHeight="1" spans="1:2" x14ac:dyDescent="0.25">
      <c r="B713" s="88"/>
    </row>
    <row r="714" ht="14.25" customHeight="1" spans="1:2" x14ac:dyDescent="0.25">
      <c r="B714" s="88"/>
    </row>
    <row r="715" ht="14.25" customHeight="1" spans="1:2" x14ac:dyDescent="0.25">
      <c r="B715" s="88"/>
    </row>
    <row r="716" ht="14.25" customHeight="1" spans="1:2" x14ac:dyDescent="0.25">
      <c r="B716" s="88"/>
    </row>
    <row r="717" ht="14.25" customHeight="1" spans="1:2" x14ac:dyDescent="0.25">
      <c r="B717" s="88"/>
    </row>
    <row r="718" ht="14.25" customHeight="1" spans="1:2" x14ac:dyDescent="0.25">
      <c r="B718" s="88"/>
    </row>
    <row r="719" ht="14.25" customHeight="1" spans="1:2" x14ac:dyDescent="0.25">
      <c r="B719" s="88"/>
    </row>
    <row r="720" ht="14.25" customHeight="1" spans="1:2" x14ac:dyDescent="0.25">
      <c r="B720" s="88"/>
    </row>
    <row r="721" ht="14.25" customHeight="1" spans="1:2" x14ac:dyDescent="0.25">
      <c r="B721" s="88"/>
    </row>
    <row r="722" ht="14.25" customHeight="1" spans="1:2" x14ac:dyDescent="0.25">
      <c r="B722" s="88"/>
    </row>
    <row r="723" ht="14.25" customHeight="1" spans="1:2" x14ac:dyDescent="0.25">
      <c r="B723" s="88"/>
    </row>
    <row r="724" ht="14.25" customHeight="1" spans="1:2" x14ac:dyDescent="0.25">
      <c r="B724" s="88"/>
    </row>
    <row r="725" ht="14.25" customHeight="1" spans="1:2" x14ac:dyDescent="0.25">
      <c r="B725" s="88"/>
    </row>
    <row r="726" ht="14.25" customHeight="1" spans="1:2" x14ac:dyDescent="0.25">
      <c r="B726" s="88"/>
    </row>
    <row r="727" ht="14.25" customHeight="1" spans="1:2" x14ac:dyDescent="0.25">
      <c r="B727" s="88"/>
    </row>
    <row r="728" ht="14.25" customHeight="1" spans="1:2" x14ac:dyDescent="0.25">
      <c r="B728" s="88"/>
    </row>
    <row r="729" ht="14.25" customHeight="1" spans="1:2" x14ac:dyDescent="0.25">
      <c r="B729" s="88"/>
    </row>
    <row r="730" ht="14.25" customHeight="1" spans="1:2" x14ac:dyDescent="0.25">
      <c r="B730" s="88"/>
    </row>
    <row r="731" ht="14.25" customHeight="1" spans="1:2" x14ac:dyDescent="0.25">
      <c r="B731" s="88"/>
    </row>
    <row r="732" ht="14.25" customHeight="1" spans="1:2" x14ac:dyDescent="0.25">
      <c r="B732" s="88"/>
    </row>
    <row r="733" ht="14.25" customHeight="1" spans="1:2" x14ac:dyDescent="0.25">
      <c r="B733" s="88"/>
    </row>
    <row r="734" ht="14.25" customHeight="1" spans="1:2" x14ac:dyDescent="0.25">
      <c r="B734" s="88"/>
    </row>
    <row r="735" ht="14.25" customHeight="1" spans="1:2" x14ac:dyDescent="0.25">
      <c r="B735" s="88"/>
    </row>
    <row r="736" ht="14.25" customHeight="1" spans="1:2" x14ac:dyDescent="0.25">
      <c r="B736" s="88"/>
    </row>
    <row r="737" ht="14.25" customHeight="1" spans="1:2" x14ac:dyDescent="0.25">
      <c r="B737" s="88"/>
    </row>
    <row r="738" ht="14.25" customHeight="1" spans="1:2" x14ac:dyDescent="0.25">
      <c r="B738" s="88"/>
    </row>
    <row r="739" ht="14.25" customHeight="1" spans="1:2" x14ac:dyDescent="0.25">
      <c r="B739" s="88"/>
    </row>
    <row r="740" ht="14.25" customHeight="1" spans="1:2" x14ac:dyDescent="0.25">
      <c r="B740" s="88"/>
    </row>
    <row r="741" ht="14.25" customHeight="1" spans="1:2" x14ac:dyDescent="0.25">
      <c r="B741" s="88"/>
    </row>
    <row r="742" ht="14.25" customHeight="1" spans="1:2" x14ac:dyDescent="0.25">
      <c r="B742" s="88"/>
    </row>
    <row r="743" ht="14.25" customHeight="1" spans="1:2" x14ac:dyDescent="0.25">
      <c r="B743" s="88"/>
    </row>
    <row r="744" ht="14.25" customHeight="1" spans="1:2" x14ac:dyDescent="0.25">
      <c r="B744" s="88"/>
    </row>
    <row r="745" ht="14.25" customHeight="1" spans="1:2" x14ac:dyDescent="0.25">
      <c r="B745" s="88"/>
    </row>
    <row r="746" ht="14.25" customHeight="1" spans="1:2" x14ac:dyDescent="0.25">
      <c r="B746" s="88"/>
    </row>
    <row r="747" ht="14.25" customHeight="1" spans="1:2" x14ac:dyDescent="0.25">
      <c r="B747" s="88"/>
    </row>
    <row r="748" ht="14.25" customHeight="1" spans="1:2" x14ac:dyDescent="0.25">
      <c r="B748" s="88"/>
    </row>
    <row r="749" ht="14.25" customHeight="1" spans="1:2" x14ac:dyDescent="0.25">
      <c r="B749" s="88"/>
    </row>
    <row r="750" ht="14.25" customHeight="1" spans="1:2" x14ac:dyDescent="0.25">
      <c r="B750" s="88"/>
    </row>
    <row r="751" ht="14.25" customHeight="1" spans="1:2" x14ac:dyDescent="0.25">
      <c r="B751" s="88"/>
    </row>
    <row r="752" ht="14.25" customHeight="1" spans="1:2" x14ac:dyDescent="0.25">
      <c r="B752" s="88"/>
    </row>
    <row r="753" ht="14.25" customHeight="1" spans="1:2" x14ac:dyDescent="0.25">
      <c r="B753" s="88"/>
    </row>
    <row r="754" ht="14.25" customHeight="1" spans="1:2" x14ac:dyDescent="0.25">
      <c r="B754" s="88"/>
    </row>
    <row r="755" ht="14.25" customHeight="1" spans="1:2" x14ac:dyDescent="0.25">
      <c r="B755" s="88"/>
    </row>
    <row r="756" ht="14.25" customHeight="1" spans="1:2" x14ac:dyDescent="0.25">
      <c r="B756" s="88"/>
    </row>
    <row r="757" ht="14.25" customHeight="1" spans="1:2" x14ac:dyDescent="0.25">
      <c r="B757" s="88"/>
    </row>
    <row r="758" ht="14.25" customHeight="1" spans="1:2" x14ac:dyDescent="0.25">
      <c r="B758" s="88"/>
    </row>
    <row r="759" ht="14.25" customHeight="1" spans="1:2" x14ac:dyDescent="0.25">
      <c r="B759" s="88"/>
    </row>
    <row r="760" ht="14.25" customHeight="1" spans="1:2" x14ac:dyDescent="0.25">
      <c r="B760" s="88"/>
    </row>
    <row r="761" ht="14.25" customHeight="1" spans="1:2" x14ac:dyDescent="0.25">
      <c r="B761" s="88"/>
    </row>
    <row r="762" ht="14.25" customHeight="1" spans="1:2" x14ac:dyDescent="0.25">
      <c r="B762" s="88"/>
    </row>
    <row r="763" ht="14.25" customHeight="1" spans="1:2" x14ac:dyDescent="0.25">
      <c r="B763" s="88"/>
    </row>
    <row r="764" ht="14.25" customHeight="1" spans="1:2" x14ac:dyDescent="0.25">
      <c r="B764" s="88"/>
    </row>
    <row r="765" ht="14.25" customHeight="1" spans="1:2" x14ac:dyDescent="0.25">
      <c r="B765" s="88"/>
    </row>
    <row r="766" ht="14.25" customHeight="1" spans="1:2" x14ac:dyDescent="0.25">
      <c r="B766" s="88"/>
    </row>
    <row r="767" ht="14.25" customHeight="1" spans="1:2" x14ac:dyDescent="0.25">
      <c r="B767" s="88"/>
    </row>
    <row r="768" ht="14.25" customHeight="1" spans="1:2" x14ac:dyDescent="0.25">
      <c r="B768" s="88"/>
    </row>
    <row r="769" ht="14.25" customHeight="1" spans="1:2" x14ac:dyDescent="0.25">
      <c r="B769" s="88"/>
    </row>
    <row r="770" ht="14.25" customHeight="1" spans="1:2" x14ac:dyDescent="0.25">
      <c r="B770" s="88"/>
    </row>
    <row r="771" ht="14.25" customHeight="1" spans="1:2" x14ac:dyDescent="0.25">
      <c r="B771" s="88"/>
    </row>
    <row r="772" ht="14.25" customHeight="1" spans="1:2" x14ac:dyDescent="0.25">
      <c r="B772" s="88"/>
    </row>
    <row r="773" ht="14.25" customHeight="1" spans="1:2" x14ac:dyDescent="0.25">
      <c r="B773" s="88"/>
    </row>
    <row r="774" ht="14.25" customHeight="1" spans="1:2" x14ac:dyDescent="0.25">
      <c r="B774" s="88"/>
    </row>
    <row r="775" ht="14.25" customHeight="1" spans="1:2" x14ac:dyDescent="0.25">
      <c r="B775" s="88"/>
    </row>
    <row r="776" ht="14.25" customHeight="1" spans="1:2" x14ac:dyDescent="0.25">
      <c r="B776" s="88"/>
    </row>
    <row r="777" ht="14.25" customHeight="1" spans="1:2" x14ac:dyDescent="0.25">
      <c r="B777" s="88"/>
    </row>
    <row r="778" ht="14.25" customHeight="1" spans="1:2" x14ac:dyDescent="0.25">
      <c r="B778" s="88"/>
    </row>
    <row r="779" ht="14.25" customHeight="1" spans="1:2" x14ac:dyDescent="0.25">
      <c r="B779" s="88"/>
    </row>
    <row r="780" ht="14.25" customHeight="1" spans="1:2" x14ac:dyDescent="0.25">
      <c r="B780" s="88"/>
    </row>
    <row r="781" ht="14.25" customHeight="1" spans="1:2" x14ac:dyDescent="0.25">
      <c r="B781" s="88"/>
    </row>
    <row r="782" ht="14.25" customHeight="1" spans="1:2" x14ac:dyDescent="0.25">
      <c r="B782" s="88"/>
    </row>
    <row r="783" ht="14.25" customHeight="1" spans="1:2" x14ac:dyDescent="0.25">
      <c r="B783" s="88"/>
    </row>
    <row r="784" ht="14.25" customHeight="1" spans="1:2" x14ac:dyDescent="0.25">
      <c r="B784" s="88"/>
    </row>
    <row r="785" ht="14.25" customHeight="1" spans="1:2" x14ac:dyDescent="0.25">
      <c r="B785" s="88"/>
    </row>
    <row r="786" ht="14.25" customHeight="1" spans="1:2" x14ac:dyDescent="0.25">
      <c r="B786" s="88"/>
    </row>
    <row r="787" ht="14.25" customHeight="1" spans="1:2" x14ac:dyDescent="0.25">
      <c r="B787" s="88"/>
    </row>
    <row r="788" ht="14.25" customHeight="1" spans="1:2" x14ac:dyDescent="0.25">
      <c r="B788" s="88"/>
    </row>
    <row r="789" ht="14.25" customHeight="1" spans="1:2" x14ac:dyDescent="0.25">
      <c r="B789" s="88"/>
    </row>
    <row r="790" ht="14.25" customHeight="1" spans="1:2" x14ac:dyDescent="0.25">
      <c r="B790" s="88"/>
    </row>
    <row r="791" ht="14.25" customHeight="1" spans="1:2" x14ac:dyDescent="0.25">
      <c r="B791" s="88"/>
    </row>
    <row r="792" ht="14.25" customHeight="1" spans="1:2" x14ac:dyDescent="0.25">
      <c r="B792" s="88"/>
    </row>
    <row r="793" ht="14.25" customHeight="1" spans="1:2" x14ac:dyDescent="0.25">
      <c r="B793" s="88"/>
    </row>
    <row r="794" ht="14.25" customHeight="1" spans="1:2" x14ac:dyDescent="0.25">
      <c r="B794" s="88"/>
    </row>
    <row r="795" ht="14.25" customHeight="1" spans="1:2" x14ac:dyDescent="0.25">
      <c r="B795" s="88"/>
    </row>
    <row r="796" ht="14.25" customHeight="1" spans="1:2" x14ac:dyDescent="0.25">
      <c r="B796" s="88"/>
    </row>
    <row r="797" ht="14.25" customHeight="1" spans="1:2" x14ac:dyDescent="0.25">
      <c r="B797" s="88"/>
    </row>
    <row r="798" ht="14.25" customHeight="1" spans="1:2" x14ac:dyDescent="0.25">
      <c r="B798" s="88"/>
    </row>
    <row r="799" ht="14.25" customHeight="1" spans="1:2" x14ac:dyDescent="0.25">
      <c r="B799" s="88"/>
    </row>
    <row r="800" ht="14.25" customHeight="1" spans="1:2" x14ac:dyDescent="0.25">
      <c r="B800" s="88"/>
    </row>
    <row r="801" ht="14.25" customHeight="1" spans="1:2" x14ac:dyDescent="0.25">
      <c r="B801" s="88"/>
    </row>
    <row r="802" ht="14.25" customHeight="1" spans="1:2" x14ac:dyDescent="0.25">
      <c r="B802" s="88"/>
    </row>
    <row r="803" ht="14.25" customHeight="1" spans="1:2" x14ac:dyDescent="0.25">
      <c r="B803" s="88"/>
    </row>
    <row r="804" ht="14.25" customHeight="1" spans="1:2" x14ac:dyDescent="0.25">
      <c r="B804" s="88"/>
    </row>
    <row r="805" ht="14.25" customHeight="1" spans="1:2" x14ac:dyDescent="0.25">
      <c r="B805" s="88"/>
    </row>
    <row r="806" ht="14.25" customHeight="1" spans="1:2" x14ac:dyDescent="0.25">
      <c r="B806" s="88"/>
    </row>
    <row r="807" ht="14.25" customHeight="1" spans="1:2" x14ac:dyDescent="0.25">
      <c r="B807" s="88"/>
    </row>
    <row r="808" ht="14.25" customHeight="1" spans="1:2" x14ac:dyDescent="0.25">
      <c r="B808" s="88"/>
    </row>
    <row r="809" ht="14.25" customHeight="1" spans="1:2" x14ac:dyDescent="0.25">
      <c r="B809" s="88"/>
    </row>
    <row r="810" ht="14.25" customHeight="1" spans="1:2" x14ac:dyDescent="0.25">
      <c r="B810" s="88"/>
    </row>
    <row r="811" ht="14.25" customHeight="1" spans="1:2" x14ac:dyDescent="0.25">
      <c r="B811" s="88"/>
    </row>
    <row r="812" ht="14.25" customHeight="1" spans="1:2" x14ac:dyDescent="0.25">
      <c r="B812" s="88"/>
    </row>
    <row r="813" ht="14.25" customHeight="1" spans="1:2" x14ac:dyDescent="0.25">
      <c r="B813" s="88"/>
    </row>
    <row r="814" ht="14.25" customHeight="1" spans="1:2" x14ac:dyDescent="0.25">
      <c r="B814" s="88"/>
    </row>
    <row r="815" ht="14.25" customHeight="1" spans="1:2" x14ac:dyDescent="0.25">
      <c r="B815" s="88"/>
    </row>
    <row r="816" ht="14.25" customHeight="1" spans="1:2" x14ac:dyDescent="0.25">
      <c r="B816" s="88"/>
    </row>
    <row r="817" ht="14.25" customHeight="1" spans="1:2" x14ac:dyDescent="0.25">
      <c r="B817" s="88"/>
    </row>
    <row r="818" ht="14.25" customHeight="1" spans="1:2" x14ac:dyDescent="0.25">
      <c r="B818" s="88"/>
    </row>
    <row r="819" ht="14.25" customHeight="1" spans="1:2" x14ac:dyDescent="0.25">
      <c r="B819" s="88"/>
    </row>
    <row r="820" ht="14.25" customHeight="1" spans="1:2" x14ac:dyDescent="0.25">
      <c r="B820" s="88"/>
    </row>
    <row r="821" ht="14.25" customHeight="1" spans="1:2" x14ac:dyDescent="0.25">
      <c r="B821" s="88"/>
    </row>
    <row r="822" ht="14.25" customHeight="1" spans="1:2" x14ac:dyDescent="0.25">
      <c r="B822" s="88"/>
    </row>
    <row r="823" ht="14.25" customHeight="1" spans="1:2" x14ac:dyDescent="0.25">
      <c r="B823" s="88"/>
    </row>
    <row r="824" ht="14.25" customHeight="1" spans="1:2" x14ac:dyDescent="0.25">
      <c r="B824" s="88"/>
    </row>
    <row r="825" ht="14.25" customHeight="1" spans="1:2" x14ac:dyDescent="0.25">
      <c r="B825" s="88"/>
    </row>
    <row r="826" ht="14.25" customHeight="1" spans="1:2" x14ac:dyDescent="0.25">
      <c r="B826" s="88"/>
    </row>
    <row r="827" ht="14.25" customHeight="1" spans="1:2" x14ac:dyDescent="0.25">
      <c r="B827" s="88"/>
    </row>
    <row r="828" ht="14.25" customHeight="1" spans="1:2" x14ac:dyDescent="0.25">
      <c r="B828" s="88"/>
    </row>
    <row r="829" ht="14.25" customHeight="1" spans="1:2" x14ac:dyDescent="0.25">
      <c r="B829" s="88"/>
    </row>
    <row r="830" ht="14.25" customHeight="1" spans="1:2" x14ac:dyDescent="0.25">
      <c r="B830" s="88"/>
    </row>
    <row r="831" ht="14.25" customHeight="1" spans="1:2" x14ac:dyDescent="0.25">
      <c r="B831" s="88"/>
    </row>
    <row r="832" ht="14.25" customHeight="1" spans="1:2" x14ac:dyDescent="0.25">
      <c r="B832" s="88"/>
    </row>
    <row r="833" ht="14.25" customHeight="1" spans="1:2" x14ac:dyDescent="0.25">
      <c r="B833" s="88"/>
    </row>
    <row r="834" ht="14.25" customHeight="1" spans="1:2" x14ac:dyDescent="0.25">
      <c r="B834" s="88"/>
    </row>
    <row r="835" ht="14.25" customHeight="1" spans="1:2" x14ac:dyDescent="0.25">
      <c r="B835" s="88"/>
    </row>
    <row r="836" ht="14.25" customHeight="1" spans="1:2" x14ac:dyDescent="0.25">
      <c r="B836" s="88"/>
    </row>
    <row r="837" ht="14.25" customHeight="1" spans="1:2" x14ac:dyDescent="0.25">
      <c r="B837" s="88"/>
    </row>
    <row r="838" ht="14.25" customHeight="1" spans="1:2" x14ac:dyDescent="0.25">
      <c r="B838" s="88"/>
    </row>
    <row r="839" ht="14.25" customHeight="1" spans="1:2" x14ac:dyDescent="0.25">
      <c r="B839" s="88"/>
    </row>
    <row r="840" ht="14.25" customHeight="1" spans="1:2" x14ac:dyDescent="0.25">
      <c r="B840" s="88"/>
    </row>
    <row r="841" ht="14.25" customHeight="1" spans="1:2" x14ac:dyDescent="0.25">
      <c r="B841" s="88"/>
    </row>
    <row r="842" ht="14.25" customHeight="1" spans="1:2" x14ac:dyDescent="0.25">
      <c r="B842" s="88"/>
    </row>
    <row r="843" ht="14.25" customHeight="1" spans="1:2" x14ac:dyDescent="0.25">
      <c r="B843" s="88"/>
    </row>
    <row r="844" ht="14.25" customHeight="1" spans="1:2" x14ac:dyDescent="0.25">
      <c r="B844" s="88"/>
    </row>
    <row r="845" ht="14.25" customHeight="1" spans="1:2" x14ac:dyDescent="0.25">
      <c r="B845" s="88"/>
    </row>
    <row r="846" ht="14.25" customHeight="1" spans="1:2" x14ac:dyDescent="0.25">
      <c r="B846" s="88"/>
    </row>
    <row r="847" ht="14.25" customHeight="1" spans="1:2" x14ac:dyDescent="0.25">
      <c r="B847" s="88"/>
    </row>
    <row r="848" ht="14.25" customHeight="1" spans="1:2" x14ac:dyDescent="0.25">
      <c r="B848" s="88"/>
    </row>
    <row r="849" ht="14.25" customHeight="1" spans="1:2" x14ac:dyDescent="0.25">
      <c r="B849" s="88"/>
    </row>
    <row r="850" ht="14.25" customHeight="1" spans="1:2" x14ac:dyDescent="0.25">
      <c r="B850" s="88"/>
    </row>
    <row r="851" ht="14.25" customHeight="1" spans="1:2" x14ac:dyDescent="0.25">
      <c r="B851" s="88"/>
    </row>
    <row r="852" ht="14.25" customHeight="1" spans="1:2" x14ac:dyDescent="0.25">
      <c r="B852" s="88"/>
    </row>
    <row r="853" ht="14.25" customHeight="1" spans="1:2" x14ac:dyDescent="0.25">
      <c r="B853" s="88"/>
    </row>
    <row r="854" ht="14.25" customHeight="1" spans="1:2" x14ac:dyDescent="0.25">
      <c r="B854" s="88"/>
    </row>
    <row r="855" ht="14.25" customHeight="1" spans="1:2" x14ac:dyDescent="0.25">
      <c r="B855" s="88"/>
    </row>
    <row r="856" ht="14.25" customHeight="1" spans="1:2" x14ac:dyDescent="0.25">
      <c r="B856" s="88"/>
    </row>
    <row r="857" ht="14.25" customHeight="1" spans="1:2" x14ac:dyDescent="0.25">
      <c r="B857" s="88"/>
    </row>
    <row r="858" ht="14.25" customHeight="1" spans="1:2" x14ac:dyDescent="0.25">
      <c r="B858" s="88"/>
    </row>
    <row r="859" ht="14.25" customHeight="1" spans="1:2" x14ac:dyDescent="0.25">
      <c r="B859" s="88"/>
    </row>
    <row r="860" ht="14.25" customHeight="1" spans="1:2" x14ac:dyDescent="0.25">
      <c r="B860" s="88"/>
    </row>
    <row r="861" ht="14.25" customHeight="1" spans="1:2" x14ac:dyDescent="0.25">
      <c r="B861" s="88"/>
    </row>
    <row r="862" ht="14.25" customHeight="1" spans="1:2" x14ac:dyDescent="0.25">
      <c r="B862" s="88"/>
    </row>
    <row r="863" ht="14.25" customHeight="1" spans="1:2" x14ac:dyDescent="0.25">
      <c r="B863" s="88"/>
    </row>
    <row r="864" ht="14.25" customHeight="1" spans="1:2" x14ac:dyDescent="0.25">
      <c r="B864" s="88"/>
    </row>
    <row r="865" ht="14.25" customHeight="1" spans="1:2" x14ac:dyDescent="0.25">
      <c r="B865" s="88"/>
    </row>
    <row r="866" ht="14.25" customHeight="1" spans="1:2" x14ac:dyDescent="0.25">
      <c r="B866" s="88"/>
    </row>
    <row r="867" ht="14.25" customHeight="1" spans="1:2" x14ac:dyDescent="0.25">
      <c r="B867" s="88"/>
    </row>
    <row r="868" ht="14.25" customHeight="1" spans="1:2" x14ac:dyDescent="0.25">
      <c r="B868" s="88"/>
    </row>
    <row r="869" ht="14.25" customHeight="1" spans="1:2" x14ac:dyDescent="0.25">
      <c r="B869" s="88"/>
    </row>
    <row r="870" ht="14.25" customHeight="1" spans="1:2" x14ac:dyDescent="0.25">
      <c r="B870" s="88"/>
    </row>
    <row r="871" ht="14.25" customHeight="1" spans="1:2" x14ac:dyDescent="0.25">
      <c r="B871" s="88"/>
    </row>
    <row r="872" ht="14.25" customHeight="1" spans="1:2" x14ac:dyDescent="0.25">
      <c r="B872" s="88"/>
    </row>
    <row r="873" ht="14.25" customHeight="1" spans="1:2" x14ac:dyDescent="0.25">
      <c r="B873" s="88"/>
    </row>
    <row r="874" ht="14.25" customHeight="1" spans="1:2" x14ac:dyDescent="0.25">
      <c r="B874" s="88"/>
    </row>
    <row r="875" ht="14.25" customHeight="1" spans="1:2" x14ac:dyDescent="0.25">
      <c r="B875" s="88"/>
    </row>
    <row r="876" ht="14.25" customHeight="1" spans="1:2" x14ac:dyDescent="0.25">
      <c r="B876" s="88"/>
    </row>
    <row r="877" ht="14.25" customHeight="1" spans="1:2" x14ac:dyDescent="0.25">
      <c r="B877" s="88"/>
    </row>
    <row r="878" ht="14.25" customHeight="1" spans="1:2" x14ac:dyDescent="0.25">
      <c r="B878" s="88"/>
    </row>
    <row r="879" ht="14.25" customHeight="1" spans="1:2" x14ac:dyDescent="0.25">
      <c r="B879" s="88"/>
    </row>
    <row r="880" ht="14.25" customHeight="1" spans="1:2" x14ac:dyDescent="0.25">
      <c r="B880" s="88"/>
    </row>
    <row r="881" ht="14.25" customHeight="1" spans="1:2" x14ac:dyDescent="0.25">
      <c r="B881" s="88"/>
    </row>
    <row r="882" ht="14.25" customHeight="1" spans="1:2" x14ac:dyDescent="0.25">
      <c r="B882" s="88"/>
    </row>
    <row r="883" ht="14.25" customHeight="1" spans="1:2" x14ac:dyDescent="0.25">
      <c r="B883" s="88"/>
    </row>
    <row r="884" ht="14.25" customHeight="1" spans="1:2" x14ac:dyDescent="0.25">
      <c r="B884" s="88"/>
    </row>
    <row r="885" ht="14.25" customHeight="1" spans="1:2" x14ac:dyDescent="0.25">
      <c r="B885" s="88"/>
    </row>
    <row r="886" ht="14.25" customHeight="1" spans="1:2" x14ac:dyDescent="0.25">
      <c r="B886" s="88"/>
    </row>
    <row r="887" ht="14.25" customHeight="1" spans="1:2" x14ac:dyDescent="0.25">
      <c r="B887" s="88"/>
    </row>
    <row r="888" ht="14.25" customHeight="1" spans="1:2" x14ac:dyDescent="0.25">
      <c r="B888" s="88"/>
    </row>
    <row r="889" ht="14.25" customHeight="1" spans="1:2" x14ac:dyDescent="0.25">
      <c r="B889" s="88"/>
    </row>
    <row r="890" ht="14.25" customHeight="1" spans="1:2" x14ac:dyDescent="0.25">
      <c r="B890" s="88"/>
    </row>
    <row r="891" ht="14.25" customHeight="1" spans="1:2" x14ac:dyDescent="0.25">
      <c r="B891" s="88"/>
    </row>
    <row r="892" ht="14.25" customHeight="1" spans="1:2" x14ac:dyDescent="0.25">
      <c r="B892" s="88"/>
    </row>
    <row r="893" ht="14.25" customHeight="1" spans="1:2" x14ac:dyDescent="0.25">
      <c r="B893" s="88"/>
    </row>
    <row r="894" ht="14.25" customHeight="1" spans="1:2" x14ac:dyDescent="0.25">
      <c r="B894" s="88"/>
    </row>
    <row r="895" ht="14.25" customHeight="1" spans="1:2" x14ac:dyDescent="0.25">
      <c r="B895" s="88"/>
    </row>
    <row r="896" ht="14.25" customHeight="1" spans="1:2" x14ac:dyDescent="0.25">
      <c r="B896" s="88"/>
    </row>
    <row r="897" ht="14.25" customHeight="1" spans="1:2" x14ac:dyDescent="0.25">
      <c r="B897" s="88"/>
    </row>
    <row r="898" ht="14.25" customHeight="1" spans="1:2" x14ac:dyDescent="0.25">
      <c r="B898" s="88"/>
    </row>
    <row r="899" ht="14.25" customHeight="1" spans="1:2" x14ac:dyDescent="0.25">
      <c r="B899" s="88"/>
    </row>
    <row r="900" ht="14.25" customHeight="1" spans="1:2" x14ac:dyDescent="0.25">
      <c r="B900" s="88"/>
    </row>
    <row r="901" ht="14.25" customHeight="1" spans="1:2" x14ac:dyDescent="0.25">
      <c r="B901" s="88"/>
    </row>
    <row r="902" ht="14.25" customHeight="1" spans="1:2" x14ac:dyDescent="0.25">
      <c r="B902" s="88"/>
    </row>
    <row r="903" ht="14.25" customHeight="1" spans="1:2" x14ac:dyDescent="0.25">
      <c r="B903" s="88"/>
    </row>
    <row r="904" ht="14.25" customHeight="1" spans="1:2" x14ac:dyDescent="0.25">
      <c r="B904" s="88"/>
    </row>
    <row r="905" ht="14.25" customHeight="1" spans="1:2" x14ac:dyDescent="0.25">
      <c r="B905" s="88"/>
    </row>
    <row r="906" ht="14.25" customHeight="1" spans="1:2" x14ac:dyDescent="0.25">
      <c r="B906" s="88"/>
    </row>
    <row r="907" ht="14.25" customHeight="1" spans="1:2" x14ac:dyDescent="0.25">
      <c r="B907" s="88"/>
    </row>
    <row r="908" ht="14.25" customHeight="1" spans="1:2" x14ac:dyDescent="0.25">
      <c r="B908" s="88"/>
    </row>
    <row r="909" ht="14.25" customHeight="1" spans="1:2" x14ac:dyDescent="0.25">
      <c r="B909" s="88"/>
    </row>
    <row r="910" ht="14.25" customHeight="1" spans="1:2" x14ac:dyDescent="0.25">
      <c r="B910" s="88"/>
    </row>
    <row r="911" ht="14.25" customHeight="1" spans="1:2" x14ac:dyDescent="0.25">
      <c r="B911" s="88"/>
    </row>
    <row r="912" ht="14.25" customHeight="1" spans="1:2" x14ac:dyDescent="0.25">
      <c r="B912" s="88"/>
    </row>
    <row r="913" ht="14.25" customHeight="1" spans="1:2" x14ac:dyDescent="0.25">
      <c r="B913" s="88"/>
    </row>
    <row r="914" ht="14.25" customHeight="1" spans="1:2" x14ac:dyDescent="0.25">
      <c r="B914" s="88"/>
    </row>
    <row r="915" ht="14.25" customHeight="1" spans="1:2" x14ac:dyDescent="0.25">
      <c r="B915" s="88"/>
    </row>
    <row r="916" ht="14.25" customHeight="1" spans="1:2" x14ac:dyDescent="0.25">
      <c r="B916" s="88"/>
    </row>
    <row r="917" ht="14.25" customHeight="1" spans="1:2" x14ac:dyDescent="0.25">
      <c r="B917" s="88"/>
    </row>
    <row r="918" ht="14.25" customHeight="1" spans="1:2" x14ac:dyDescent="0.25">
      <c r="B918" s="88"/>
    </row>
    <row r="919" ht="14.25" customHeight="1" spans="1:2" x14ac:dyDescent="0.25">
      <c r="B919" s="88"/>
    </row>
    <row r="920" ht="14.25" customHeight="1" spans="1:2" x14ac:dyDescent="0.25">
      <c r="B920" s="88"/>
    </row>
    <row r="921" ht="14.25" customHeight="1" spans="1:2" x14ac:dyDescent="0.25">
      <c r="B921" s="88"/>
    </row>
    <row r="922" ht="14.25" customHeight="1" spans="1:2" x14ac:dyDescent="0.25">
      <c r="B922" s="88"/>
    </row>
    <row r="923" ht="14.25" customHeight="1" spans="1:2" x14ac:dyDescent="0.25">
      <c r="B923" s="88"/>
    </row>
    <row r="924" ht="14.25" customHeight="1" spans="1:2" x14ac:dyDescent="0.25">
      <c r="B924" s="88"/>
    </row>
    <row r="925" ht="14.25" customHeight="1" spans="1:2" x14ac:dyDescent="0.25">
      <c r="B925" s="88"/>
    </row>
    <row r="926" ht="14.25" customHeight="1" spans="1:2" x14ac:dyDescent="0.25">
      <c r="B926" s="88"/>
    </row>
    <row r="927" ht="14.25" customHeight="1" spans="1:2" x14ac:dyDescent="0.25">
      <c r="B927" s="88"/>
    </row>
    <row r="928" ht="14.25" customHeight="1" spans="1:2" x14ac:dyDescent="0.25">
      <c r="B928" s="88"/>
    </row>
    <row r="929" ht="14.25" customHeight="1" spans="1:2" x14ac:dyDescent="0.25">
      <c r="B929" s="88"/>
    </row>
    <row r="930" ht="14.25" customHeight="1" spans="1:2" x14ac:dyDescent="0.25">
      <c r="B930" s="88"/>
    </row>
    <row r="931" ht="14.25" customHeight="1" spans="1:2" x14ac:dyDescent="0.25">
      <c r="B931" s="88"/>
    </row>
    <row r="932" ht="14.25" customHeight="1" spans="1:2" x14ac:dyDescent="0.25">
      <c r="B932" s="88"/>
    </row>
    <row r="933" ht="14.25" customHeight="1" spans="1:2" x14ac:dyDescent="0.25">
      <c r="B933" s="88"/>
    </row>
    <row r="934" ht="14.25" customHeight="1" spans="1:2" x14ac:dyDescent="0.25">
      <c r="B934" s="88"/>
    </row>
    <row r="935" ht="14.25" customHeight="1" spans="1:2" x14ac:dyDescent="0.25">
      <c r="B935" s="88"/>
    </row>
    <row r="936" ht="14.25" customHeight="1" spans="1:2" x14ac:dyDescent="0.25">
      <c r="B936" s="88"/>
    </row>
    <row r="937" ht="14.25" customHeight="1" spans="1:2" x14ac:dyDescent="0.25">
      <c r="B937" s="88"/>
    </row>
    <row r="938" ht="14.25" customHeight="1" spans="1:2" x14ac:dyDescent="0.25">
      <c r="B938" s="88"/>
    </row>
    <row r="939" ht="14.25" customHeight="1" spans="1:2" x14ac:dyDescent="0.25">
      <c r="B939" s="88"/>
    </row>
    <row r="940" ht="14.25" customHeight="1" spans="1:2" x14ac:dyDescent="0.25">
      <c r="B940" s="88"/>
    </row>
    <row r="941" ht="14.25" customHeight="1" spans="1:2" x14ac:dyDescent="0.25">
      <c r="B941" s="88"/>
    </row>
    <row r="942" ht="14.25" customHeight="1" spans="1:2" x14ac:dyDescent="0.25">
      <c r="B942" s="88"/>
    </row>
    <row r="943" ht="14.25" customHeight="1" spans="1:2" x14ac:dyDescent="0.25">
      <c r="B943" s="88"/>
    </row>
    <row r="944" ht="14.25" customHeight="1" spans="1:2" x14ac:dyDescent="0.25">
      <c r="B944" s="88"/>
    </row>
    <row r="945" ht="14.25" customHeight="1" spans="1:2" x14ac:dyDescent="0.25">
      <c r="B945" s="88"/>
    </row>
    <row r="946" ht="14.25" customHeight="1" spans="1:2" x14ac:dyDescent="0.25">
      <c r="B946" s="88"/>
    </row>
    <row r="947" ht="14.25" customHeight="1" spans="1:2" x14ac:dyDescent="0.25">
      <c r="B947" s="88"/>
    </row>
    <row r="948" ht="14.25" customHeight="1" spans="1:2" x14ac:dyDescent="0.25">
      <c r="B948" s="88"/>
    </row>
    <row r="949" ht="14.25" customHeight="1" spans="1:2" x14ac:dyDescent="0.25">
      <c r="B949" s="88"/>
    </row>
    <row r="950" ht="14.25" customHeight="1" spans="1:2" x14ac:dyDescent="0.25">
      <c r="B950" s="88"/>
    </row>
    <row r="951" ht="14.25" customHeight="1" spans="1:2" x14ac:dyDescent="0.25">
      <c r="B951" s="88"/>
    </row>
    <row r="952" ht="14.25" customHeight="1" spans="1:2" x14ac:dyDescent="0.25">
      <c r="B952" s="88"/>
    </row>
    <row r="953" ht="14.25" customHeight="1" spans="1:2" x14ac:dyDescent="0.25">
      <c r="B953" s="88"/>
    </row>
    <row r="954" ht="14.25" customHeight="1" spans="1:2" x14ac:dyDescent="0.25">
      <c r="B954" s="88"/>
    </row>
    <row r="955" ht="14.25" customHeight="1" spans="1:2" x14ac:dyDescent="0.25">
      <c r="B955" s="88"/>
    </row>
    <row r="956" ht="14.25" customHeight="1" spans="1:2" x14ac:dyDescent="0.25">
      <c r="B956" s="88"/>
    </row>
    <row r="957" ht="14.25" customHeight="1" spans="1:2" x14ac:dyDescent="0.25">
      <c r="B957" s="88"/>
    </row>
    <row r="958" ht="14.25" customHeight="1" spans="1:2" x14ac:dyDescent="0.25">
      <c r="B958" s="88"/>
    </row>
    <row r="959" ht="14.25" customHeight="1" spans="1:2" x14ac:dyDescent="0.25">
      <c r="B959" s="88"/>
    </row>
    <row r="960" ht="14.25" customHeight="1" spans="1:2" x14ac:dyDescent="0.25">
      <c r="B960" s="88"/>
    </row>
    <row r="961" ht="14.25" customHeight="1" spans="1:2" x14ac:dyDescent="0.25">
      <c r="B961" s="88"/>
    </row>
    <row r="962" ht="14.25" customHeight="1" spans="1:2" x14ac:dyDescent="0.25">
      <c r="B962" s="88"/>
    </row>
    <row r="963" ht="14.25" customHeight="1" spans="1:2" x14ac:dyDescent="0.25">
      <c r="B963" s="88"/>
    </row>
    <row r="964" ht="14.25" customHeight="1" spans="1:2" x14ac:dyDescent="0.25">
      <c r="B964" s="88"/>
    </row>
    <row r="965" ht="14.25" customHeight="1" spans="1:2" x14ac:dyDescent="0.25">
      <c r="B965" s="88"/>
    </row>
    <row r="966" ht="14.25" customHeight="1" spans="1:2" x14ac:dyDescent="0.25">
      <c r="B966" s="88"/>
    </row>
    <row r="967" ht="14.25" customHeight="1" spans="1:2" x14ac:dyDescent="0.25">
      <c r="B967" s="88"/>
    </row>
    <row r="968" ht="14.25" customHeight="1" spans="1:2" x14ac:dyDescent="0.25">
      <c r="B968" s="88"/>
    </row>
    <row r="969" ht="14.25" customHeight="1" spans="1:2" x14ac:dyDescent="0.25">
      <c r="B969" s="88"/>
    </row>
    <row r="970" ht="14.25" customHeight="1" spans="1:2" x14ac:dyDescent="0.25">
      <c r="B970" s="88"/>
    </row>
    <row r="971" ht="14.25" customHeight="1" spans="1:2" x14ac:dyDescent="0.25">
      <c r="B971" s="88"/>
    </row>
    <row r="972" ht="14.25" customHeight="1" spans="1:2" x14ac:dyDescent="0.25">
      <c r="B972" s="88"/>
    </row>
    <row r="973" ht="14.25" customHeight="1" spans="1:2" x14ac:dyDescent="0.25">
      <c r="B973" s="88"/>
    </row>
    <row r="974" ht="14.25" customHeight="1" spans="1:2" x14ac:dyDescent="0.25">
      <c r="B974" s="88"/>
    </row>
    <row r="975" ht="14.25" customHeight="1" spans="1:2" x14ac:dyDescent="0.25">
      <c r="B975" s="88"/>
    </row>
    <row r="976" ht="14.25" customHeight="1" spans="1:2" x14ac:dyDescent="0.25">
      <c r="B976" s="88"/>
    </row>
    <row r="977" ht="14.25" customHeight="1" spans="1:2" x14ac:dyDescent="0.25">
      <c r="B977" s="88"/>
    </row>
    <row r="978" ht="14.25" customHeight="1" spans="1:2" x14ac:dyDescent="0.25">
      <c r="B978" s="88"/>
    </row>
    <row r="979" ht="14.25" customHeight="1" spans="1:2" x14ac:dyDescent="0.25">
      <c r="B979" s="88"/>
    </row>
    <row r="980" ht="14.25" customHeight="1" spans="1:2" x14ac:dyDescent="0.25">
      <c r="B980" s="88"/>
    </row>
    <row r="981" ht="14.25" customHeight="1" spans="1:2" x14ac:dyDescent="0.25">
      <c r="B981" s="88"/>
    </row>
    <row r="982" ht="14.25" customHeight="1" spans="1:2" x14ac:dyDescent="0.25">
      <c r="B982" s="88"/>
    </row>
    <row r="983" ht="14.25" customHeight="1" spans="1:2" x14ac:dyDescent="0.25">
      <c r="B983" s="88"/>
    </row>
    <row r="984" ht="14.25" customHeight="1" spans="1:2" x14ac:dyDescent="0.25">
      <c r="B984" s="88"/>
    </row>
    <row r="985" ht="14.25" customHeight="1" spans="1:2" x14ac:dyDescent="0.25">
      <c r="B985" s="88"/>
    </row>
    <row r="986" ht="14.25" customHeight="1" spans="1:2" x14ac:dyDescent="0.25">
      <c r="B986" s="88"/>
    </row>
    <row r="987" ht="14.25" customHeight="1" spans="1:2" x14ac:dyDescent="0.25">
      <c r="B987" s="88"/>
    </row>
    <row r="988" ht="14.25" customHeight="1" spans="1:2" x14ac:dyDescent="0.25">
      <c r="B988" s="88"/>
    </row>
    <row r="989" ht="14.25" customHeight="1" spans="1:2" x14ac:dyDescent="0.25">
      <c r="B989" s="88"/>
    </row>
    <row r="990" ht="14.25" customHeight="1" spans="1:2" x14ac:dyDescent="0.25">
      <c r="B990" s="88"/>
    </row>
    <row r="991" ht="14.25" customHeight="1" spans="1:2" x14ac:dyDescent="0.25">
      <c r="B991" s="88"/>
    </row>
    <row r="992" ht="14.25" customHeight="1" spans="1:2" x14ac:dyDescent="0.25">
      <c r="B992" s="88"/>
    </row>
    <row r="993" ht="14.25" customHeight="1" spans="1:2" x14ac:dyDescent="0.25">
      <c r="B993" s="88"/>
    </row>
    <row r="994" ht="14.25" customHeight="1" spans="1:2" x14ac:dyDescent="0.25">
      <c r="B994" s="88"/>
    </row>
    <row r="995" ht="14.25" customHeight="1" spans="1:2" x14ac:dyDescent="0.25">
      <c r="B995" s="88"/>
    </row>
    <row r="996" ht="14.25" customHeight="1" spans="1:2" x14ac:dyDescent="0.25">
      <c r="B996" s="88"/>
    </row>
    <row r="997" ht="14.25" customHeight="1" spans="1:2" x14ac:dyDescent="0.25">
      <c r="B997" s="88"/>
    </row>
    <row r="998" ht="14.25" customHeight="1" spans="1:2" x14ac:dyDescent="0.25">
      <c r="B998" s="88"/>
    </row>
    <row r="999" ht="14.25" customHeight="1" spans="1:2" x14ac:dyDescent="0.25">
      <c r="B999" s="88"/>
    </row>
    <row r="1000" ht="14.25" customHeight="1" spans="1:2" x14ac:dyDescent="0.25">
      <c r="B1000" s="8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55A11"/>
  </sheetPr>
  <dimension ref="A1:BT1000"/>
  <sheetViews>
    <sheetView workbookViewId="0" zoomScale="100" zoomScaleNormal="100">
      <pane xSplit="2" topLeftCell="C1" activePane="topRight" state="frozen"/>
      <selection pane="topRight" activeCell="D2" sqref="D2"/>
    </sheetView>
  </sheetViews>
  <sheetFormatPr defaultRowHeight="15" outlineLevelRow="0" outlineLevelCol="1" x14ac:dyDescent="0" defaultColWidth="14.43"/>
  <cols>
    <col min="1" max="1" width="6" customWidth="1"/>
    <col min="2" max="2" width="16" customWidth="1"/>
    <col min="3" max="3" width="22" customWidth="1"/>
    <col min="4" max="4" width="20" customWidth="1"/>
    <col min="5" max="6" width="16" customWidth="1"/>
    <col min="7" max="8" width="18" customWidth="1"/>
    <col min="9" max="9" width="14" customWidth="1"/>
    <col min="10" max="10" width="13.29" customWidth="1"/>
    <col min="11" max="11" width="14" customWidth="1"/>
    <col min="12" max="12" width="19.86" customWidth="1"/>
    <col min="13" max="13" width="17.29" customWidth="1"/>
    <col min="14" max="17" width="14" customWidth="1"/>
    <col min="18" max="18" width="18.71" customWidth="1"/>
    <col min="19" max="19" width="16.14" customWidth="1"/>
    <col min="20" max="66" width="14" customWidth="1"/>
    <col min="67" max="67" width="27" customWidth="1"/>
    <col min="68" max="72" width="14" customWidth="1"/>
  </cols>
  <sheetData>
    <row r="1" ht="45.75" customHeight="1" spans="1:72" x14ac:dyDescent="0.25">
      <c r="A1" s="89" t="s">
        <v>33</v>
      </c>
      <c r="B1" s="89" t="s">
        <v>618</v>
      </c>
      <c r="C1" s="89" t="s">
        <v>487</v>
      </c>
      <c r="D1" s="89" t="s">
        <v>619</v>
      </c>
      <c r="E1" s="89" t="s">
        <v>611</v>
      </c>
      <c r="F1" s="89" t="s">
        <v>620</v>
      </c>
      <c r="G1" s="89" t="s">
        <v>621</v>
      </c>
      <c r="H1" s="89" t="s">
        <v>622</v>
      </c>
      <c r="I1" s="90" t="s">
        <v>623</v>
      </c>
      <c r="J1" s="90" t="s">
        <v>624</v>
      </c>
      <c r="K1" s="90" t="s">
        <v>625</v>
      </c>
      <c r="L1" s="90" t="s">
        <v>626</v>
      </c>
      <c r="M1" s="90" t="s">
        <v>627</v>
      </c>
      <c r="N1" s="90" t="s">
        <v>628</v>
      </c>
      <c r="O1" s="90" t="s">
        <v>629</v>
      </c>
      <c r="P1" s="90" t="s">
        <v>630</v>
      </c>
      <c r="Q1" s="90" t="s">
        <v>631</v>
      </c>
      <c r="R1" s="90" t="s">
        <v>632</v>
      </c>
      <c r="S1" s="90" t="s">
        <v>633</v>
      </c>
      <c r="T1" s="90" t="s">
        <v>634</v>
      </c>
      <c r="U1" s="90" t="s">
        <v>635</v>
      </c>
      <c r="V1" s="90" t="s">
        <v>636</v>
      </c>
      <c r="W1" s="90" t="s">
        <v>637</v>
      </c>
      <c r="X1" s="90" t="s">
        <v>638</v>
      </c>
      <c r="Y1" s="90" t="s">
        <v>639</v>
      </c>
      <c r="Z1" s="90" t="s">
        <v>640</v>
      </c>
      <c r="AA1" s="90" t="s">
        <v>641</v>
      </c>
      <c r="AB1" s="90" t="s">
        <v>642</v>
      </c>
      <c r="AC1" s="90" t="s">
        <v>643</v>
      </c>
      <c r="AD1" s="90" t="s">
        <v>644</v>
      </c>
      <c r="AE1" s="90" t="s">
        <v>645</v>
      </c>
      <c r="AF1" s="90" t="s">
        <v>646</v>
      </c>
      <c r="AG1" s="90" t="s">
        <v>647</v>
      </c>
      <c r="AH1" s="90" t="s">
        <v>648</v>
      </c>
      <c r="AI1" s="90" t="s">
        <v>649</v>
      </c>
      <c r="AJ1" s="90" t="s">
        <v>650</v>
      </c>
      <c r="AK1" s="90" t="s">
        <v>651</v>
      </c>
      <c r="AL1" s="90" t="s">
        <v>652</v>
      </c>
      <c r="AM1" s="90" t="s">
        <v>653</v>
      </c>
      <c r="AN1" s="90" t="s">
        <v>654</v>
      </c>
      <c r="AO1" s="91" t="s">
        <v>655</v>
      </c>
      <c r="AP1" s="91" t="s">
        <v>656</v>
      </c>
      <c r="AQ1" s="91" t="s">
        <v>657</v>
      </c>
      <c r="AR1" s="91" t="s">
        <v>658</v>
      </c>
      <c r="AS1" s="91" t="s">
        <v>659</v>
      </c>
      <c r="AT1" s="91" t="s">
        <v>660</v>
      </c>
      <c r="AU1" s="91" t="s">
        <v>661</v>
      </c>
      <c r="AV1" s="91" t="s">
        <v>662</v>
      </c>
      <c r="AW1" s="91" t="s">
        <v>663</v>
      </c>
      <c r="AX1" s="91" t="s">
        <v>664</v>
      </c>
      <c r="AY1" s="91" t="s">
        <v>665</v>
      </c>
      <c r="AZ1" s="91" t="s">
        <v>666</v>
      </c>
      <c r="BA1" s="91" t="s">
        <v>667</v>
      </c>
      <c r="BB1" s="91" t="s">
        <v>668</v>
      </c>
      <c r="BC1" s="91" t="s">
        <v>669</v>
      </c>
      <c r="BD1" s="91" t="s">
        <v>670</v>
      </c>
      <c r="BE1" s="91" t="s">
        <v>671</v>
      </c>
      <c r="BF1" s="91" t="s">
        <v>672</v>
      </c>
      <c r="BG1" s="91" t="s">
        <v>673</v>
      </c>
      <c r="BH1" s="91" t="s">
        <v>674</v>
      </c>
      <c r="BI1" s="91" t="s">
        <v>675</v>
      </c>
      <c r="BJ1" s="91" t="s">
        <v>676</v>
      </c>
      <c r="BK1" s="91" t="s">
        <v>677</v>
      </c>
      <c r="BL1" s="91" t="s">
        <v>678</v>
      </c>
      <c r="BM1" s="91" t="s">
        <v>679</v>
      </c>
      <c r="BN1" s="91" t="s">
        <v>680</v>
      </c>
      <c r="BO1" s="91" t="s">
        <v>681</v>
      </c>
      <c r="BP1" s="91" t="s">
        <v>682</v>
      </c>
      <c r="BQ1" s="91" t="s">
        <v>683</v>
      </c>
      <c r="BR1" s="91" t="s">
        <v>684</v>
      </c>
      <c r="BS1" s="91" t="s">
        <v>685</v>
      </c>
      <c r="BT1" s="91" t="s">
        <v>686</v>
      </c>
    </row>
    <row r="2" ht="14.25" customHeight="1" spans="1:72" x14ac:dyDescent="0.25">
      <c r="A2" s="61">
        <f t="shared" ref="A2:A225" si="0">IF($B2="","",ROW()-1)</f>
        <v>1</v>
      </c>
      <c r="B2" s="61" t="str">
        <f t="array" ref="B2">IFERROR(INDEX('02_DS_Nhan_Viec'!$B:$B,MATCH(ROW()-1,'02_DS_Nhan_Viec'!$M:$M,0)),"")</f>
        <v>UV0726-002</v>
      </c>
      <c r="C2" s="61" t="str">
        <f t="array" ref="C2">IF($B2="","",IFERROR(INDEX('01_UngVien_PhongVan'!$D:$D,MATCH($B2,'01_UngVien_PhongVan'!$B:$B,0)),"Không tìm thấy mã ứng viên"))</f>
        <v>Lâm Ngọc Bình</v>
      </c>
      <c r="D2" s="61" t="str">
        <f t="array" ref="D2">IF($B2="","",IFERROR(INDEX('01_UngVien_PhongVan'!$R:$R,MATCH($B2,'01_UngVien_PhongVan'!$B:$B,0)),""))</f>
        <v>Chuyền A</v>
      </c>
      <c r="E2" s="61" t="str">
        <f t="array" ref="E2">IF($B2="","",IFERROR(INDEX('02_DS_Nhan_Viec'!$H:$H,MATCH($B2,'02_DS_Nhan_Viec'!$B:$B,0)),""))</f>
        <v>Chuyền chặt</v>
      </c>
      <c r="F2" s="68">
        <f t="array" ref="F2">IF($B2="","",IFERROR(INDEX('02_DS_Nhan_Viec'!$E:$E,MATCH($B2,'02_DS_Nhan_Viec'!$B:$B,0)),""))</f>
        <v>46227</v>
      </c>
      <c r="G2" s="68">
        <f t="shared" ref="G2:G225" si="1">IF($F2="","",$F2)</f>
        <v>46227</v>
      </c>
      <c r="H2" s="68">
        <f t="shared" ref="H2:H225" si="2">IF($F2="","",$F2+14)</f>
        <v>46241</v>
      </c>
      <c r="I2" s="68"/>
      <c r="J2" s="61"/>
      <c r="K2" s="61"/>
      <c r="L2" s="61"/>
      <c r="M2" s="61"/>
      <c r="N2" s="61"/>
      <c r="O2" s="61"/>
      <c r="P2" s="92"/>
      <c r="Q2" s="92"/>
      <c r="R2" s="93">
        <f t="shared" ref="R2:R225" si="3">IF(OR($P2="",$Q2=""),"",$Q2-$P2)</f>
      </c>
      <c r="S2" s="61"/>
      <c r="T2" s="61"/>
      <c r="U2" s="61"/>
      <c r="V2" s="61"/>
      <c r="W2" s="61">
        <f t="shared" ref="W2:W225" si="4">IF(OR($U2="",$V2=""),"",$U2-$V2)</f>
      </c>
      <c r="X2" s="94">
        <f t="shared" ref="X2:X225" si="5">IF(OR($U2="",$U2=0,$V2=""),"",$V2/$U2)</f>
      </c>
      <c r="Y2" s="94">
        <f t="shared" ref="Y2:Y225" si="6">IF(OR($S2="",$S2=0,$U2=""),"",$U2/$S2)</f>
      </c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95"/>
      <c r="AM2" s="61"/>
      <c r="AN2" s="61"/>
      <c r="AO2" s="68"/>
      <c r="AP2" s="61"/>
      <c r="AQ2" s="61"/>
      <c r="AR2" s="61"/>
      <c r="AS2" s="61"/>
      <c r="AT2" s="61"/>
      <c r="AU2" s="61"/>
      <c r="AV2" s="92"/>
      <c r="AW2" s="92"/>
      <c r="AX2" s="93">
        <f t="shared" ref="AX2:AX225" si="7">IF(OR($AV2="",$AW2=""),"",$AW2-$AV2)</f>
      </c>
      <c r="AY2" s="61"/>
      <c r="AZ2" s="61"/>
      <c r="BA2" s="61"/>
      <c r="BB2" s="61"/>
      <c r="BC2" s="61">
        <f t="shared" ref="BC2:BC18" si="8">IF(OR($BA2="",$BB2=""),"",$BA2-$BB2)</f>
      </c>
      <c r="BD2" s="94">
        <f t="shared" ref="BD2:BD18" si="9">IF(OR($BA2="",$BA2=0,$BB2=""),"",$BB2/$BA2)</f>
      </c>
      <c r="BE2" s="94">
        <f t="shared" ref="BE2:BE18" si="10">IF(OR($AY2="",$AY2=0,$BA2=""),"",$BA2/$AY2)</f>
      </c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95"/>
      <c r="BS2" s="61"/>
      <c r="BT2" s="61"/>
    </row>
    <row r="3" ht="14.25" customHeight="1" spans="1:72" x14ac:dyDescent="0.25">
      <c r="A3" s="61">
        <f t="shared" si="0"/>
        <v>2</v>
      </c>
      <c r="B3" s="61" t="str">
        <f t="array" ref="B3">IFERROR(INDEX('02_DS_Nhan_Viec'!$B:$B,MATCH(ROW()-1,'02_DS_Nhan_Viec'!$M:$M,0)),"")</f>
        <v>UV0726-003</v>
      </c>
      <c r="C3" s="61" t="str">
        <f t="array" ref="C3">IF($B3="","",IFERROR(INDEX('01_UngVien_PhongVan'!$D:$D,MATCH($B3,'01_UngVien_PhongVan'!$B:$B,0)),"Không tìm thấy mã ứng viên"))</f>
        <v>Trần Đức Trí</v>
      </c>
      <c r="D3" s="61">
        <f t="array" ref="D3">IF($B3="","",IFERROR(INDEX('01_UngVien_PhongVan'!$R:$R,MATCH($B3,'01_UngVien_PhongVan'!$B:$B,0)),""))</f>
      </c>
      <c r="E3" s="61">
        <f t="array" ref="E3">IF($B3="","",IFERROR(INDEX('02_DS_Nhan_Viec'!$H:$H,MATCH($B3,'02_DS_Nhan_Viec'!$B:$B,0)),""))</f>
      </c>
      <c r="F3" s="68">
        <f t="array" ref="F3">IF($B3="","",IFERROR(INDEX('02_DS_Nhan_Viec'!$E:$E,MATCH($B3,'02_DS_Nhan_Viec'!$B:$B,0)),""))</f>
        <v>46226</v>
      </c>
      <c r="G3" s="68">
        <f t="shared" si="1"/>
        <v>46226</v>
      </c>
      <c r="H3" s="68">
        <f t="shared" si="2"/>
        <v>46240</v>
      </c>
      <c r="I3" s="68"/>
      <c r="J3" s="61"/>
      <c r="K3" s="61"/>
      <c r="L3" s="61"/>
      <c r="M3" s="61"/>
      <c r="N3" s="61"/>
      <c r="O3" s="61"/>
      <c r="P3" s="92"/>
      <c r="Q3" s="92"/>
      <c r="R3" s="93">
        <f t="shared" si="3"/>
      </c>
      <c r="S3" s="61"/>
      <c r="T3" s="61"/>
      <c r="U3" s="61"/>
      <c r="V3" s="61"/>
      <c r="W3" s="61">
        <f t="shared" si="4"/>
      </c>
      <c r="X3" s="94">
        <f t="shared" si="5"/>
      </c>
      <c r="Y3" s="94">
        <f t="shared" si="6"/>
      </c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95"/>
      <c r="AM3" s="61"/>
      <c r="AN3" s="61"/>
      <c r="AO3" s="68"/>
      <c r="AP3" s="61"/>
      <c r="AQ3" s="61"/>
      <c r="AR3" s="61"/>
      <c r="AS3" s="61"/>
      <c r="AT3" s="61"/>
      <c r="AU3" s="61"/>
      <c r="AV3" s="92"/>
      <c r="AW3" s="92"/>
      <c r="AX3" s="93">
        <f t="shared" si="7"/>
      </c>
      <c r="AY3" s="61"/>
      <c r="AZ3" s="61"/>
      <c r="BA3" s="61"/>
      <c r="BB3" s="61"/>
      <c r="BC3" s="61">
        <f t="shared" si="8"/>
      </c>
      <c r="BD3" s="94">
        <f t="shared" si="9"/>
      </c>
      <c r="BE3" s="94">
        <f t="shared" si="10"/>
      </c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95"/>
      <c r="BS3" s="61"/>
      <c r="BT3" s="61"/>
    </row>
    <row r="4" ht="14.25" customHeight="1" spans="1:72" x14ac:dyDescent="0.25">
      <c r="A4" s="61">
        <f t="shared" si="0"/>
        <v>3</v>
      </c>
      <c r="B4" s="61" t="str">
        <f t="array" ref="B4">IFERROR(INDEX('02_DS_Nhan_Viec'!$B:$B,MATCH(ROW()-1,'02_DS_Nhan_Viec'!$M:$M,0)),"")</f>
        <v>UV0726-005</v>
      </c>
      <c r="C4" s="61" t="str">
        <f t="array" ref="C4">IF($B4="","",IFERROR(INDEX('01_UngVien_PhongVan'!$D:$D,MATCH($B4,'01_UngVien_PhongVan'!$B:$B,0)),"Không tìm thấy mã ứng viên"))</f>
        <v>Nguyễn Hoàng Thiện</v>
      </c>
      <c r="D4" s="61">
        <f t="array" ref="D4">IF($B4="","",IFERROR(INDEX('01_UngVien_PhongVan'!$R:$R,MATCH($B4,'01_UngVien_PhongVan'!$B:$B,0)),""))</f>
      </c>
      <c r="E4" s="61" t="str">
        <f t="array" ref="E4">IF($B4="","",IFERROR(INDEX('02_DS_Nhan_Viec'!$H:$H,MATCH($B4,'02_DS_Nhan_Viec'!$B:$B,0)),""))</f>
        <v>Chuyền chặt</v>
      </c>
      <c r="F4" s="68">
        <f t="array" ref="F4">IF($B4="","",IFERROR(INDEX('02_DS_Nhan_Viec'!$E:$E,MATCH($B4,'02_DS_Nhan_Viec'!$B:$B,0)),""))</f>
        <v>46218</v>
      </c>
      <c r="G4" s="68">
        <f t="shared" si="1"/>
        <v>46218</v>
      </c>
      <c r="H4" s="68">
        <f t="shared" si="2"/>
        <v>46232</v>
      </c>
      <c r="I4" s="68"/>
      <c r="J4" s="61"/>
      <c r="K4" s="61"/>
      <c r="L4" s="61"/>
      <c r="M4" s="61"/>
      <c r="N4" s="61"/>
      <c r="O4" s="61"/>
      <c r="P4" s="92"/>
      <c r="Q4" s="92"/>
      <c r="R4" s="93">
        <f t="shared" si="3"/>
      </c>
      <c r="S4" s="61"/>
      <c r="T4" s="61"/>
      <c r="U4" s="61"/>
      <c r="V4" s="61"/>
      <c r="W4" s="61">
        <f t="shared" si="4"/>
      </c>
      <c r="X4" s="94">
        <f t="shared" si="5"/>
      </c>
      <c r="Y4" s="94">
        <f t="shared" si="6"/>
      </c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95"/>
      <c r="AM4" s="61"/>
      <c r="AN4" s="61"/>
      <c r="AO4" s="68"/>
      <c r="AP4" s="61"/>
      <c r="AQ4" s="61"/>
      <c r="AR4" s="61"/>
      <c r="AS4" s="61"/>
      <c r="AT4" s="61"/>
      <c r="AU4" s="61"/>
      <c r="AV4" s="92"/>
      <c r="AW4" s="92"/>
      <c r="AX4" s="93">
        <f t="shared" si="7"/>
      </c>
      <c r="AY4" s="61"/>
      <c r="AZ4" s="61"/>
      <c r="BA4" s="61"/>
      <c r="BB4" s="61"/>
      <c r="BC4" s="61">
        <f t="shared" si="8"/>
      </c>
      <c r="BD4" s="94">
        <f t="shared" si="9"/>
      </c>
      <c r="BE4" s="94">
        <f t="shared" si="10"/>
      </c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95"/>
      <c r="BS4" s="61"/>
      <c r="BT4" s="61"/>
    </row>
    <row r="5" ht="14.25" customHeight="1" spans="1:72" x14ac:dyDescent="0.25">
      <c r="A5" s="61">
        <f t="shared" si="0"/>
        <v>4</v>
      </c>
      <c r="B5" s="61" t="str">
        <f t="array" ref="B5">IFERROR(INDEX('02_DS_Nhan_Viec'!$B:$B,MATCH(ROW()-1,'02_DS_Nhan_Viec'!$M:$M,0)),"")</f>
        <v>UV0726-006</v>
      </c>
      <c r="C5" s="61" t="str">
        <f t="array" ref="C5">IF($B5="","",IFERROR(INDEX('01_UngVien_PhongVan'!$D:$D,MATCH($B5,'01_UngVien_PhongVan'!$B:$B,0)),"Không tìm thấy mã ứng viên"))</f>
        <v>Võ Quốc Kiệt</v>
      </c>
      <c r="D5" s="61">
        <f t="array" ref="D5">IF($B5="","",IFERROR(INDEX('01_UngVien_PhongVan'!$R:$R,MATCH($B5,'01_UngVien_PhongVan'!$B:$B,0)),""))</f>
      </c>
      <c r="E5" s="61" t="str">
        <f t="array" ref="E5">IF($B5="","",IFERROR(INDEX('02_DS_Nhan_Viec'!$H:$H,MATCH($B5,'02_DS_Nhan_Viec'!$B:$B,0)),""))</f>
        <v>Chuyền chặt</v>
      </c>
      <c r="F5" s="68">
        <f t="array" ref="F5">IF($B5="","",IFERROR(INDEX('02_DS_Nhan_Viec'!$E:$E,MATCH($B5,'02_DS_Nhan_Viec'!$B:$B,0)),""))</f>
        <v>46218</v>
      </c>
      <c r="G5" s="68">
        <f t="shared" si="1"/>
        <v>46218</v>
      </c>
      <c r="H5" s="68">
        <f t="shared" si="2"/>
        <v>46232</v>
      </c>
      <c r="I5" s="68"/>
      <c r="J5" s="61"/>
      <c r="K5" s="61"/>
      <c r="L5" s="61"/>
      <c r="M5" s="61"/>
      <c r="N5" s="61"/>
      <c r="O5" s="61"/>
      <c r="P5" s="92"/>
      <c r="Q5" s="92"/>
      <c r="R5" s="93">
        <f t="shared" si="3"/>
      </c>
      <c r="S5" s="61"/>
      <c r="T5" s="61"/>
      <c r="U5" s="61"/>
      <c r="V5" s="61"/>
      <c r="W5" s="61">
        <f t="shared" si="4"/>
      </c>
      <c r="X5" s="94">
        <f t="shared" si="5"/>
      </c>
      <c r="Y5" s="94">
        <f t="shared" si="6"/>
      </c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95"/>
      <c r="AM5" s="61"/>
      <c r="AN5" s="61"/>
      <c r="AO5" s="68"/>
      <c r="AP5" s="61"/>
      <c r="AQ5" s="61"/>
      <c r="AR5" s="61"/>
      <c r="AS5" s="61"/>
      <c r="AT5" s="61"/>
      <c r="AU5" s="61"/>
      <c r="AV5" s="92"/>
      <c r="AW5" s="92"/>
      <c r="AX5" s="93">
        <f t="shared" si="7"/>
      </c>
      <c r="AY5" s="61"/>
      <c r="AZ5" s="61"/>
      <c r="BA5" s="61"/>
      <c r="BB5" s="61"/>
      <c r="BC5" s="61">
        <f t="shared" si="8"/>
      </c>
      <c r="BD5" s="94">
        <f t="shared" si="9"/>
      </c>
      <c r="BE5" s="94">
        <f t="shared" si="10"/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95"/>
      <c r="BS5" s="61"/>
      <c r="BT5" s="61"/>
    </row>
    <row r="6" ht="14.25" customHeight="1" spans="1:72" x14ac:dyDescent="0.25">
      <c r="A6" s="61">
        <f t="shared" si="0"/>
        <v>5</v>
      </c>
      <c r="B6" s="61" t="str">
        <f t="array" ref="B6">IFERROR(INDEX('02_DS_Nhan_Viec'!$B:$B,MATCH(ROW()-1,'02_DS_Nhan_Viec'!$M:$M,0)),"")</f>
        <v>UV0726-008</v>
      </c>
      <c r="C6" s="61" t="str">
        <f t="array" ref="C6">IF($B6="","",IFERROR(INDEX('01_UngVien_PhongVan'!$D:$D,MATCH($B6,'01_UngVien_PhongVan'!$B:$B,0)),"Không tìm thấy mã ứng viên"))</f>
        <v>Nguyễn Thị Thuý</v>
      </c>
      <c r="D6" s="61">
        <f t="array" ref="D6">IF($B6="","",IFERROR(INDEX('01_UngVien_PhongVan'!$R:$R,MATCH($B6,'01_UngVien_PhongVan'!$B:$B,0)),""))</f>
      </c>
      <c r="E6" s="61">
        <f t="array" ref="E6">IF($B6="","",IFERROR(INDEX('02_DS_Nhan_Viec'!$H:$H,MATCH($B6,'02_DS_Nhan_Viec'!$B:$B,0)),""))</f>
      </c>
      <c r="F6" s="68">
        <f t="array" ref="F6">IF($B6="","",IFERROR(INDEX('02_DS_Nhan_Viec'!$E:$E,MATCH($B6,'02_DS_Nhan_Viec'!$B:$B,0)),""))</f>
        <v>46211</v>
      </c>
      <c r="G6" s="68">
        <f t="shared" si="1"/>
        <v>46211</v>
      </c>
      <c r="H6" s="68">
        <f t="shared" si="2"/>
        <v>46225</v>
      </c>
      <c r="I6" s="68"/>
      <c r="J6" s="61"/>
      <c r="K6" s="61"/>
      <c r="L6" s="61"/>
      <c r="M6" s="61"/>
      <c r="N6" s="61"/>
      <c r="O6" s="61"/>
      <c r="P6" s="92"/>
      <c r="Q6" s="92"/>
      <c r="R6" s="93">
        <f t="shared" si="3"/>
      </c>
      <c r="S6" s="61"/>
      <c r="T6" s="61"/>
      <c r="U6" s="61"/>
      <c r="V6" s="61"/>
      <c r="W6" s="61">
        <f t="shared" si="4"/>
      </c>
      <c r="X6" s="94">
        <f t="shared" si="5"/>
      </c>
      <c r="Y6" s="94">
        <f t="shared" si="6"/>
      </c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95"/>
      <c r="AM6" s="61"/>
      <c r="AN6" s="61"/>
      <c r="AO6" s="68"/>
      <c r="AP6" s="61"/>
      <c r="AQ6" s="61"/>
      <c r="AR6" s="61"/>
      <c r="AS6" s="61"/>
      <c r="AT6" s="61"/>
      <c r="AU6" s="61"/>
      <c r="AV6" s="92"/>
      <c r="AW6" s="92"/>
      <c r="AX6" s="93">
        <f t="shared" si="7"/>
      </c>
      <c r="AY6" s="61"/>
      <c r="AZ6" s="61"/>
      <c r="BA6" s="61"/>
      <c r="BB6" s="61"/>
      <c r="BC6" s="61">
        <f t="shared" si="8"/>
      </c>
      <c r="BD6" s="94">
        <f t="shared" si="9"/>
      </c>
      <c r="BE6" s="94">
        <f t="shared" si="10"/>
      </c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95"/>
      <c r="BS6" s="61"/>
      <c r="BT6" s="61"/>
    </row>
    <row r="7" ht="14.25" customHeight="1" spans="1:72" x14ac:dyDescent="0.25">
      <c r="A7" s="61">
        <f t="shared" si="0"/>
        <v>6</v>
      </c>
      <c r="B7" s="61" t="str">
        <f t="array" ref="B7">IFERROR(INDEX('02_DS_Nhan_Viec'!$B:$B,MATCH(ROW()-1,'02_DS_Nhan_Viec'!$M:$M,0)),"")</f>
        <v>UV0726-009</v>
      </c>
      <c r="C7" s="61" t="str">
        <f t="array" ref="C7">IF($B7="","",IFERROR(INDEX('01_UngVien_PhongVan'!$D:$D,MATCH($B7,'01_UngVien_PhongVan'!$B:$B,0)),"Không tìm thấy mã ứng viên"))</f>
        <v>Bùi Thị Phương Anh</v>
      </c>
      <c r="D7" s="61">
        <f t="array" ref="D7">IF($B7="","",IFERROR(INDEX('01_UngVien_PhongVan'!$R:$R,MATCH($B7,'01_UngVien_PhongVan'!$B:$B,0)),""))</f>
      </c>
      <c r="E7" s="61">
        <f t="array" ref="E7">IF($B7="","",IFERROR(INDEX('02_DS_Nhan_Viec'!$H:$H,MATCH($B7,'02_DS_Nhan_Viec'!$B:$B,0)),""))</f>
      </c>
      <c r="F7" s="68">
        <f t="array" ref="F7">IF($B7="","",IFERROR(INDEX('02_DS_Nhan_Viec'!$E:$E,MATCH($B7,'02_DS_Nhan_Viec'!$B:$B,0)),""))</f>
        <v>46206</v>
      </c>
      <c r="G7" s="68">
        <f t="shared" si="1"/>
        <v>46206</v>
      </c>
      <c r="H7" s="68">
        <f t="shared" si="2"/>
        <v>46220</v>
      </c>
      <c r="I7" s="68"/>
      <c r="J7" s="61"/>
      <c r="K7" s="61"/>
      <c r="L7" s="61"/>
      <c r="M7" s="61"/>
      <c r="N7" s="61"/>
      <c r="O7" s="61"/>
      <c r="P7" s="92"/>
      <c r="Q7" s="92"/>
      <c r="R7" s="93">
        <f t="shared" si="3"/>
      </c>
      <c r="S7" s="61"/>
      <c r="T7" s="61"/>
      <c r="U7" s="61"/>
      <c r="V7" s="61"/>
      <c r="W7" s="61">
        <f t="shared" si="4"/>
      </c>
      <c r="X7" s="94">
        <f t="shared" si="5"/>
      </c>
      <c r="Y7" s="94">
        <f t="shared" si="6"/>
      </c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95"/>
      <c r="AM7" s="61"/>
      <c r="AN7" s="61"/>
      <c r="AO7" s="68"/>
      <c r="AP7" s="61"/>
      <c r="AQ7" s="61"/>
      <c r="AR7" s="61"/>
      <c r="AS7" s="61"/>
      <c r="AT7" s="61"/>
      <c r="AU7" s="61"/>
      <c r="AV7" s="92"/>
      <c r="AW7" s="92"/>
      <c r="AX7" s="93">
        <f t="shared" si="7"/>
      </c>
      <c r="AY7" s="61"/>
      <c r="AZ7" s="61"/>
      <c r="BA7" s="61"/>
      <c r="BB7" s="61"/>
      <c r="BC7" s="61">
        <f t="shared" si="8"/>
      </c>
      <c r="BD7" s="94">
        <f t="shared" si="9"/>
      </c>
      <c r="BE7" s="94">
        <f t="shared" si="10"/>
      </c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95"/>
      <c r="BS7" s="61"/>
      <c r="BT7" s="61"/>
    </row>
    <row r="8" ht="14.25" customHeight="1" spans="1:72" x14ac:dyDescent="0.25">
      <c r="A8" s="61">
        <f t="shared" si="0"/>
        <v>7</v>
      </c>
      <c r="B8" s="61" t="str">
        <f t="array" ref="B8">IFERROR(INDEX('02_DS_Nhan_Viec'!$B:$B,MATCH(ROW()-1,'02_DS_Nhan_Viec'!$M:$M,0)),"")</f>
        <v>UV0726-010</v>
      </c>
      <c r="C8" s="61" t="str">
        <f t="array" ref="C8">IF($B8="","",IFERROR(INDEX('01_UngVien_PhongVan'!$D:$D,MATCH($B8,'01_UngVien_PhongVan'!$B:$B,0)),"Không tìm thấy mã ứng viên"))</f>
        <v>Lương Thị Thắm</v>
      </c>
      <c r="D8" s="61" t="str">
        <f t="array" ref="D8">IF($B8="","",IFERROR(INDEX('01_UngVien_PhongVan'!$R:$R,MATCH($B8,'01_UngVien_PhongVan'!$B:$B,0)),""))</f>
        <v>Thợ may</v>
      </c>
      <c r="E8" s="61">
        <f t="array" ref="E8">IF($B8="","",IFERROR(INDEX('02_DS_Nhan_Viec'!$H:$H,MATCH($B8,'02_DS_Nhan_Viec'!$B:$B,0)),""))</f>
      </c>
      <c r="F8" s="68">
        <f t="array" ref="F8">IF($B8="","",IFERROR(INDEX('02_DS_Nhan_Viec'!$E:$E,MATCH($B8,'02_DS_Nhan_Viec'!$B:$B,0)),""))</f>
        <v>46205</v>
      </c>
      <c r="G8" s="68">
        <f t="shared" si="1"/>
        <v>46205</v>
      </c>
      <c r="H8" s="68">
        <f t="shared" si="2"/>
        <v>46219</v>
      </c>
      <c r="I8" s="68"/>
      <c r="J8" s="61"/>
      <c r="K8" s="61"/>
      <c r="L8" s="61"/>
      <c r="M8" s="61"/>
      <c r="N8" s="61"/>
      <c r="O8" s="61"/>
      <c r="P8" s="92"/>
      <c r="Q8" s="92"/>
      <c r="R8" s="93">
        <f t="shared" si="3"/>
      </c>
      <c r="S8" s="61"/>
      <c r="T8" s="61"/>
      <c r="U8" s="61"/>
      <c r="V8" s="61"/>
      <c r="W8" s="61">
        <f t="shared" si="4"/>
      </c>
      <c r="X8" s="94">
        <f t="shared" si="5"/>
      </c>
      <c r="Y8" s="94">
        <f t="shared" si="6"/>
      </c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95"/>
      <c r="AM8" s="61"/>
      <c r="AN8" s="61"/>
      <c r="AO8" s="68"/>
      <c r="AP8" s="61"/>
      <c r="AQ8" s="61"/>
      <c r="AR8" s="61"/>
      <c r="AS8" s="61"/>
      <c r="AT8" s="61"/>
      <c r="AU8" s="61"/>
      <c r="AV8" s="92"/>
      <c r="AW8" s="92"/>
      <c r="AX8" s="93">
        <f t="shared" si="7"/>
      </c>
      <c r="AY8" s="61"/>
      <c r="AZ8" s="61"/>
      <c r="BA8" s="61"/>
      <c r="BB8" s="61"/>
      <c r="BC8" s="61">
        <f t="shared" si="8"/>
      </c>
      <c r="BD8" s="94">
        <f t="shared" si="9"/>
      </c>
      <c r="BE8" s="94">
        <f t="shared" si="10"/>
      </c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95"/>
      <c r="BS8" s="61"/>
      <c r="BT8" s="61"/>
    </row>
    <row r="9" ht="14.25" customHeight="1" spans="1:72" x14ac:dyDescent="0.25">
      <c r="A9" s="61">
        <f t="shared" si="0"/>
        <v>8</v>
      </c>
      <c r="B9" s="61" t="str">
        <f t="array" ref="B9">IFERROR(INDEX('02_DS_Nhan_Viec'!$B:$B,MATCH(ROW()-1,'02_DS_Nhan_Viec'!$M:$M,0)),"")</f>
        <v>UV0826-001</v>
      </c>
      <c r="C9" s="61" t="str">
        <f t="array" ref="C9">IF($B9="","",IFERROR(INDEX('01_UngVien_PhongVan'!$D:$D,MATCH($B9,'01_UngVien_PhongVan'!$B:$B,0)),"Không tìm thấy mã ứng viên"))</f>
        <v>Cao Thị Thu Phương</v>
      </c>
      <c r="D9" s="61">
        <f t="array" ref="D9">IF($B9="","",IFERROR(INDEX('01_UngVien_PhongVan'!$R:$R,MATCH($B9,'01_UngVien_PhongVan'!$B:$B,0)),""))</f>
      </c>
      <c r="E9" s="61" t="str">
        <f t="array" ref="E9">IF($B9="","",IFERROR(INDEX('02_DS_Nhan_Viec'!$H:$H,MATCH($B9,'02_DS_Nhan_Viec'!$B:$B,0)),""))</f>
        <v>Chuẩn bị</v>
      </c>
      <c r="F9" s="68">
        <f t="array" ref="F9">IF($B9="","",IFERROR(INDEX('02_DS_Nhan_Viec'!$E:$E,MATCH($B9,'02_DS_Nhan_Viec'!$B:$B,0)),""))</f>
        <v>46244</v>
      </c>
      <c r="G9" s="68">
        <f t="shared" si="1"/>
        <v>46244</v>
      </c>
      <c r="H9" s="68">
        <f t="shared" si="2"/>
        <v>46258</v>
      </c>
      <c r="I9" s="68"/>
      <c r="J9" s="61"/>
      <c r="K9" s="61"/>
      <c r="L9" s="61"/>
      <c r="M9" s="61"/>
      <c r="N9" s="61"/>
      <c r="O9" s="61"/>
      <c r="P9" s="92"/>
      <c r="Q9" s="92"/>
      <c r="R9" s="93">
        <f t="shared" si="3"/>
      </c>
      <c r="S9" s="61"/>
      <c r="T9" s="61"/>
      <c r="U9" s="61"/>
      <c r="V9" s="61"/>
      <c r="W9" s="61">
        <f t="shared" si="4"/>
      </c>
      <c r="X9" s="94">
        <f t="shared" si="5"/>
      </c>
      <c r="Y9" s="94">
        <f t="shared" si="6"/>
      </c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95"/>
      <c r="AM9" s="61"/>
      <c r="AN9" s="61"/>
      <c r="AO9" s="68"/>
      <c r="AP9" s="61"/>
      <c r="AQ9" s="61"/>
      <c r="AR9" s="61"/>
      <c r="AS9" s="61"/>
      <c r="AT9" s="61"/>
      <c r="AU9" s="61"/>
      <c r="AV9" s="92"/>
      <c r="AW9" s="92"/>
      <c r="AX9" s="93">
        <f t="shared" si="7"/>
      </c>
      <c r="AY9" s="61"/>
      <c r="AZ9" s="61"/>
      <c r="BA9" s="61"/>
      <c r="BB9" s="61"/>
      <c r="BC9" s="61">
        <f t="shared" si="8"/>
      </c>
      <c r="BD9" s="94">
        <f t="shared" si="9"/>
      </c>
      <c r="BE9" s="94">
        <f t="shared" si="10"/>
      </c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95"/>
      <c r="BS9" s="61"/>
      <c r="BT9" s="61"/>
    </row>
    <row r="10" ht="14.25" customHeight="1" spans="1:72" x14ac:dyDescent="0.25">
      <c r="A10" s="61">
        <f t="shared" si="0"/>
        <v>9</v>
      </c>
      <c r="B10" s="61" t="str">
        <f t="array" ref="B10">IFERROR(INDEX('02_DS_Nhan_Viec'!$B:$B,MATCH(ROW()-1,'02_DS_Nhan_Viec'!$M:$M,0)),"")</f>
        <v>UV0826-002</v>
      </c>
      <c r="C10" s="61" t="str">
        <f t="array" ref="C10">IF($B10="","",IFERROR(INDEX('01_UngVien_PhongVan'!$D:$D,MATCH($B10,'01_UngVien_PhongVan'!$B:$B,0)),"Không tìm thấy mã ứng viên"))</f>
        <v>Lâm Hữu An</v>
      </c>
      <c r="D10" s="61">
        <f t="array" ref="D10">IF($B10="","",IFERROR(INDEX('01_UngVien_PhongVan'!$R:$R,MATCH($B10,'01_UngVien_PhongVan'!$B:$B,0)),""))</f>
      </c>
      <c r="E10" s="61" t="str">
        <f t="array" ref="E10">IF($B10="","",IFERROR(INDEX('02_DS_Nhan_Viec'!$H:$H,MATCH($B10,'02_DS_Nhan_Viec'!$B:$B,0)),""))</f>
        <v>Chuyền A</v>
      </c>
      <c r="F10" s="68">
        <f t="array" ref="F10">IF($B10="","",IFERROR(INDEX('02_DS_Nhan_Viec'!$E:$E,MATCH($B10,'02_DS_Nhan_Viec'!$B:$B,0)),""))</f>
        <v>46248</v>
      </c>
      <c r="G10" s="68">
        <f t="shared" si="1"/>
        <v>46248</v>
      </c>
      <c r="H10" s="68">
        <f t="shared" si="2"/>
        <v>46262</v>
      </c>
      <c r="I10" s="68"/>
      <c r="J10" s="61"/>
      <c r="K10" s="61"/>
      <c r="L10" s="61"/>
      <c r="M10" s="61"/>
      <c r="N10" s="61"/>
      <c r="O10" s="61"/>
      <c r="P10" s="92"/>
      <c r="Q10" s="92"/>
      <c r="R10" s="93">
        <f t="shared" si="3"/>
      </c>
      <c r="S10" s="61"/>
      <c r="T10" s="61"/>
      <c r="U10" s="61"/>
      <c r="V10" s="61"/>
      <c r="W10" s="61">
        <f t="shared" si="4"/>
      </c>
      <c r="X10" s="94">
        <f t="shared" si="5"/>
      </c>
      <c r="Y10" s="94">
        <f t="shared" si="6"/>
      </c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95"/>
      <c r="AM10" s="61"/>
      <c r="AN10" s="61"/>
      <c r="AO10" s="68"/>
      <c r="AP10" s="61"/>
      <c r="AQ10" s="61"/>
      <c r="AR10" s="61"/>
      <c r="AS10" s="61"/>
      <c r="AT10" s="61"/>
      <c r="AU10" s="61"/>
      <c r="AV10" s="92"/>
      <c r="AW10" s="92"/>
      <c r="AX10" s="93">
        <f t="shared" si="7"/>
      </c>
      <c r="AY10" s="61"/>
      <c r="AZ10" s="61"/>
      <c r="BA10" s="61"/>
      <c r="BB10" s="61"/>
      <c r="BC10" s="61">
        <f t="shared" si="8"/>
      </c>
      <c r="BD10" s="94">
        <f t="shared" si="9"/>
      </c>
      <c r="BE10" s="94">
        <f t="shared" si="10"/>
      </c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95"/>
      <c r="BS10" s="61"/>
      <c r="BT10" s="61"/>
    </row>
    <row r="11" ht="14.25" customHeight="1" spans="1:72" x14ac:dyDescent="0.25">
      <c r="A11" s="61">
        <f t="shared" si="0"/>
        <v>10</v>
      </c>
      <c r="B11" s="61" t="str">
        <f t="array" ref="B11">IFERROR(INDEX('02_DS_Nhan_Viec'!$B:$B,MATCH(ROW()-1,'02_DS_Nhan_Viec'!$M:$M,0)),"")</f>
        <v>UV0826-003</v>
      </c>
      <c r="C11" s="61" t="str">
        <f t="array" ref="C11">IF($B11="","",IFERROR(INDEX('01_UngVien_PhongVan'!$D:$D,MATCH($B11,'01_UngVien_PhongVan'!$B:$B,0)),"Không tìm thấy mã ứng viên"))</f>
        <v>Trần Ngọc Bảo Trân</v>
      </c>
      <c r="D11" s="61">
        <f t="array" ref="D11">IF($B11="","",IFERROR(INDEX('01_UngVien_PhongVan'!$R:$R,MATCH($B11,'01_UngVien_PhongVan'!$B:$B,0)),""))</f>
      </c>
      <c r="E11" s="61">
        <f t="array" ref="E11">IF($B11="","",IFERROR(INDEX('02_DS_Nhan_Viec'!$H:$H,MATCH($B11,'02_DS_Nhan_Viec'!$B:$B,0)),""))</f>
      </c>
      <c r="F11" s="68">
        <f t="array" ref="F11">IF($B11="","",IFERROR(INDEX('02_DS_Nhan_Viec'!$E:$E,MATCH($B11,'02_DS_Nhan_Viec'!$B:$B,0)),""))</f>
        <v>46244</v>
      </c>
      <c r="G11" s="68">
        <f t="shared" si="1"/>
        <v>46244</v>
      </c>
      <c r="H11" s="68">
        <f t="shared" si="2"/>
        <v>46258</v>
      </c>
      <c r="I11" s="68"/>
      <c r="J11" s="61"/>
      <c r="K11" s="61"/>
      <c r="L11" s="61"/>
      <c r="M11" s="61"/>
      <c r="N11" s="61"/>
      <c r="O11" s="61"/>
      <c r="P11" s="92"/>
      <c r="Q11" s="92"/>
      <c r="R11" s="93">
        <f t="shared" si="3"/>
      </c>
      <c r="S11" s="61"/>
      <c r="T11" s="61"/>
      <c r="U11" s="61"/>
      <c r="V11" s="61"/>
      <c r="W11" s="61">
        <f t="shared" si="4"/>
      </c>
      <c r="X11" s="94">
        <f t="shared" si="5"/>
      </c>
      <c r="Y11" s="94">
        <f t="shared" si="6"/>
      </c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95"/>
      <c r="AM11" s="61"/>
      <c r="AN11" s="61"/>
      <c r="AO11" s="68"/>
      <c r="AP11" s="61"/>
      <c r="AQ11" s="61"/>
      <c r="AR11" s="61"/>
      <c r="AS11" s="61"/>
      <c r="AT11" s="61"/>
      <c r="AU11" s="61"/>
      <c r="AV11" s="92"/>
      <c r="AW11" s="92"/>
      <c r="AX11" s="93">
        <f t="shared" si="7"/>
      </c>
      <c r="AY11" s="61"/>
      <c r="AZ11" s="61"/>
      <c r="BA11" s="61"/>
      <c r="BB11" s="61"/>
      <c r="BC11" s="61">
        <f t="shared" si="8"/>
      </c>
      <c r="BD11" s="94">
        <f t="shared" si="9"/>
      </c>
      <c r="BE11" s="94">
        <f t="shared" si="10"/>
      </c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95"/>
      <c r="BS11" s="61"/>
      <c r="BT11" s="61"/>
    </row>
    <row r="12" ht="14.25" customHeight="1" spans="1:72" x14ac:dyDescent="0.25">
      <c r="A12" s="61">
        <f t="shared" si="0"/>
        <v>11</v>
      </c>
      <c r="B12" s="61" t="str">
        <f t="array" ref="B12">IFERROR(INDEX('02_DS_Nhan_Viec'!$B:$B,MATCH(ROW()-1,'02_DS_Nhan_Viec'!$M:$M,0)),"")</f>
        <v>UV0826-005</v>
      </c>
      <c r="C12" s="61" t="str">
        <f t="array" ref="C12">IF($B12="","",IFERROR(INDEX('01_UngVien_PhongVan'!$D:$D,MATCH($B12,'01_UngVien_PhongVan'!$B:$B,0)),"Không tìm thấy mã ứng viên"))</f>
        <v>Chu Nữ Ngọc Song Linh</v>
      </c>
      <c r="D12" s="61">
        <f t="array" ref="D12">IF($B12="","",IFERROR(INDEX('01_UngVien_PhongVan'!$R:$R,MATCH($B12,'01_UngVien_PhongVan'!$B:$B,0)),""))</f>
      </c>
      <c r="E12" s="61" t="str">
        <f t="array" ref="E12">IF($B12="","",IFERROR(INDEX('02_DS_Nhan_Viec'!$H:$H,MATCH($B12,'02_DS_Nhan_Viec'!$B:$B,0)),""))</f>
        <v>Chuyền B</v>
      </c>
      <c r="F12" s="68">
        <f t="array" ref="F12">IF($B12="","",IFERROR(INDEX('02_DS_Nhan_Viec'!$E:$E,MATCH($B12,'02_DS_Nhan_Viec'!$B:$B,0)),""))</f>
        <v>46244</v>
      </c>
      <c r="G12" s="68">
        <f t="shared" si="1"/>
        <v>46244</v>
      </c>
      <c r="H12" s="68">
        <f t="shared" si="2"/>
        <v>46258</v>
      </c>
      <c r="I12" s="68"/>
      <c r="J12" s="61"/>
      <c r="K12" s="61"/>
      <c r="L12" s="61"/>
      <c r="M12" s="61"/>
      <c r="N12" s="61"/>
      <c r="O12" s="61"/>
      <c r="P12" s="92"/>
      <c r="Q12" s="92"/>
      <c r="R12" s="93">
        <f t="shared" si="3"/>
      </c>
      <c r="S12" s="61"/>
      <c r="T12" s="61"/>
      <c r="U12" s="61"/>
      <c r="V12" s="61"/>
      <c r="W12" s="61">
        <f t="shared" si="4"/>
      </c>
      <c r="X12" s="94">
        <f t="shared" si="5"/>
      </c>
      <c r="Y12" s="94">
        <f t="shared" si="6"/>
      </c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95"/>
      <c r="AM12" s="61"/>
      <c r="AN12" s="61"/>
      <c r="AO12" s="68"/>
      <c r="AP12" s="61"/>
      <c r="AQ12" s="61"/>
      <c r="AR12" s="61"/>
      <c r="AS12" s="61"/>
      <c r="AT12" s="61"/>
      <c r="AU12" s="61"/>
      <c r="AV12" s="92"/>
      <c r="AW12" s="92"/>
      <c r="AX12" s="93">
        <f t="shared" si="7"/>
      </c>
      <c r="AY12" s="61"/>
      <c r="AZ12" s="61"/>
      <c r="BA12" s="61"/>
      <c r="BB12" s="61"/>
      <c r="BC12" s="61">
        <f t="shared" si="8"/>
      </c>
      <c r="BD12" s="94">
        <f t="shared" si="9"/>
      </c>
      <c r="BE12" s="94">
        <f t="shared" si="10"/>
      </c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95"/>
      <c r="BS12" s="61"/>
      <c r="BT12" s="61"/>
    </row>
    <row r="13" ht="14.25" customHeight="1" spans="1:72" x14ac:dyDescent="0.25">
      <c r="A13" s="61">
        <f t="shared" si="0"/>
        <v>12</v>
      </c>
      <c r="B13" s="61" t="str">
        <f t="array" ref="B13">IFERROR(INDEX('02_DS_Nhan_Viec'!$B:$B,MATCH(ROW()-1,'02_DS_Nhan_Viec'!$M:$M,0)),"")</f>
        <v>UV0826-007</v>
      </c>
      <c r="C13" s="61" t="str">
        <f t="array" ref="C13">IF($B13="","",IFERROR(INDEX('01_UngVien_PhongVan'!$D:$D,MATCH($B13,'01_UngVien_PhongVan'!$B:$B,0)),"Không tìm thấy mã ứng viên"))</f>
        <v>Trần Thị Đó</v>
      </c>
      <c r="D13" s="61">
        <f t="array" ref="D13">IF($B13="","",IFERROR(INDEX('01_UngVien_PhongVan'!$R:$R,MATCH($B13,'01_UngVien_PhongVan'!$B:$B,0)),""))</f>
      </c>
      <c r="E13" s="61">
        <f t="array" ref="E13">IF($B13="","",IFERROR(INDEX('02_DS_Nhan_Viec'!$H:$H,MATCH($B13,'02_DS_Nhan_Viec'!$B:$B,0)),""))</f>
      </c>
      <c r="F13" s="68">
        <f t="array" ref="F13">IF($B13="","",IFERROR(INDEX('02_DS_Nhan_Viec'!$E:$E,MATCH($B13,'02_DS_Nhan_Viec'!$B:$B,0)),""))</f>
        <v>46246</v>
      </c>
      <c r="G13" s="68">
        <f t="shared" si="1"/>
        <v>46246</v>
      </c>
      <c r="H13" s="68">
        <f t="shared" si="2"/>
        <v>46260</v>
      </c>
      <c r="I13" s="68"/>
      <c r="J13" s="61"/>
      <c r="K13" s="61"/>
      <c r="L13" s="61"/>
      <c r="M13" s="61"/>
      <c r="N13" s="61"/>
      <c r="O13" s="61"/>
      <c r="P13" s="92"/>
      <c r="Q13" s="92"/>
      <c r="R13" s="93">
        <f t="shared" si="3"/>
      </c>
      <c r="S13" s="61"/>
      <c r="T13" s="61"/>
      <c r="U13" s="61"/>
      <c r="V13" s="61"/>
      <c r="W13" s="61">
        <f t="shared" si="4"/>
      </c>
      <c r="X13" s="94">
        <f t="shared" si="5"/>
      </c>
      <c r="Y13" s="94">
        <f t="shared" si="6"/>
      </c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95"/>
      <c r="AM13" s="61"/>
      <c r="AN13" s="61"/>
      <c r="AO13" s="68"/>
      <c r="AP13" s="61"/>
      <c r="AQ13" s="61"/>
      <c r="AR13" s="61"/>
      <c r="AS13" s="61"/>
      <c r="AT13" s="61"/>
      <c r="AU13" s="61"/>
      <c r="AV13" s="92"/>
      <c r="AW13" s="92"/>
      <c r="AX13" s="93">
        <f t="shared" si="7"/>
      </c>
      <c r="AY13" s="61"/>
      <c r="AZ13" s="61"/>
      <c r="BA13" s="61"/>
      <c r="BB13" s="61"/>
      <c r="BC13" s="61">
        <f t="shared" si="8"/>
      </c>
      <c r="BD13" s="94">
        <f t="shared" si="9"/>
      </c>
      <c r="BE13" s="94">
        <f t="shared" si="10"/>
      </c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95"/>
      <c r="BS13" s="61"/>
      <c r="BT13" s="61"/>
    </row>
    <row r="14" ht="14.25" customHeight="1" spans="1:72" x14ac:dyDescent="0.25">
      <c r="A14" s="61">
        <f t="shared" si="0"/>
        <v>13</v>
      </c>
      <c r="B14" s="61" t="str">
        <f t="array" ref="B14">IFERROR(INDEX('02_DS_Nhan_Viec'!$B:$B,MATCH(ROW()-1,'02_DS_Nhan_Viec'!$M:$M,0)),"")</f>
        <v>UV0826-012</v>
      </c>
      <c r="C14" s="61" t="str">
        <f t="array" ref="C14">IF($B14="","",IFERROR(INDEX('01_UngVien_PhongVan'!$D:$D,MATCH($B14,'01_UngVien_PhongVan'!$B:$B,0)),"Không tìm thấy mã ứng viên"))</f>
        <v>Nguyễn Hữu Đức</v>
      </c>
      <c r="D14" s="61" t="str">
        <f t="array" ref="D14">IF($B14="","",IFERROR(INDEX('01_UngVien_PhongVan'!$R:$R,MATCH($B14,'01_UngVien_PhongVan'!$B:$B,0)),""))</f>
        <v>Thợ chặt</v>
      </c>
      <c r="E14" s="61" t="str">
        <f t="array" ref="E14">IF($B14="","",IFERROR(INDEX('02_DS_Nhan_Viec'!$H:$H,MATCH($B14,'02_DS_Nhan_Viec'!$B:$B,0)),""))</f>
        <v>Chuyền A</v>
      </c>
      <c r="F14" s="68">
        <f t="array" ref="F14">IF($B14="","",IFERROR(INDEX('02_DS_Nhan_Viec'!$E:$E,MATCH($B14,'02_DS_Nhan_Viec'!$B:$B,0)),""))</f>
        <v>46252</v>
      </c>
      <c r="G14" s="68">
        <f t="shared" si="1"/>
        <v>46252</v>
      </c>
      <c r="H14" s="68">
        <f t="shared" si="2"/>
        <v>46266</v>
      </c>
      <c r="I14" s="68"/>
      <c r="J14" s="61"/>
      <c r="K14" s="61"/>
      <c r="L14" s="61"/>
      <c r="M14" s="61"/>
      <c r="N14" s="61"/>
      <c r="O14" s="61"/>
      <c r="P14" s="92"/>
      <c r="Q14" s="92"/>
      <c r="R14" s="93">
        <f t="shared" si="3"/>
      </c>
      <c r="S14" s="61"/>
      <c r="T14" s="61"/>
      <c r="U14" s="61"/>
      <c r="V14" s="61"/>
      <c r="W14" s="61">
        <f t="shared" si="4"/>
      </c>
      <c r="X14" s="94">
        <f t="shared" si="5"/>
      </c>
      <c r="Y14" s="94">
        <f t="shared" si="6"/>
      </c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95"/>
      <c r="AM14" s="61"/>
      <c r="AN14" s="61"/>
      <c r="AO14" s="68"/>
      <c r="AP14" s="61"/>
      <c r="AQ14" s="61"/>
      <c r="AR14" s="61"/>
      <c r="AS14" s="61"/>
      <c r="AT14" s="61"/>
      <c r="AU14" s="61"/>
      <c r="AV14" s="92"/>
      <c r="AW14" s="92"/>
      <c r="AX14" s="93">
        <f t="shared" si="7"/>
      </c>
      <c r="AY14" s="61"/>
      <c r="AZ14" s="61"/>
      <c r="BA14" s="61"/>
      <c r="BB14" s="61"/>
      <c r="BC14" s="61">
        <f t="shared" si="8"/>
      </c>
      <c r="BD14" s="94">
        <f t="shared" si="9"/>
      </c>
      <c r="BE14" s="94">
        <f t="shared" si="10"/>
      </c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95"/>
      <c r="BS14" s="61"/>
      <c r="BT14" s="61"/>
    </row>
    <row r="15" ht="14.25" customHeight="1" spans="1:72" x14ac:dyDescent="0.25">
      <c r="A15" s="61">
        <f t="shared" si="0"/>
        <v>14</v>
      </c>
      <c r="B15" s="61" t="str">
        <f t="array" ref="B15">IFERROR(INDEX('02_DS_Nhan_Viec'!$B:$B,MATCH(ROW()-1,'02_DS_Nhan_Viec'!$M:$M,0)),"")</f>
        <v>UV0826-013</v>
      </c>
      <c r="C15" s="61" t="str">
        <f t="array" ref="C15">IF($B15="","",IFERROR(INDEX('01_UngVien_PhongVan'!$D:$D,MATCH($B15,'01_UngVien_PhongVan'!$B:$B,0)),"Không tìm thấy mã ứng viên"))</f>
        <v>Võ Thị Thanh Tuyền</v>
      </c>
      <c r="D15" s="61" t="str">
        <f t="array" ref="D15">IF($B15="","",IFERROR(INDEX('01_UngVien_PhongVan'!$R:$R,MATCH($B15,'01_UngVien_PhongVan'!$B:$B,0)),""))</f>
        <v>Thợ may</v>
      </c>
      <c r="E15" s="61" t="str">
        <f t="array" ref="E15">IF($B15="","",IFERROR(INDEX('02_DS_Nhan_Viec'!$H:$H,MATCH($B15,'02_DS_Nhan_Viec'!$B:$B,0)),""))</f>
        <v>Chuyền chặt</v>
      </c>
      <c r="F15" s="68">
        <f t="array" ref="F15">IF($B15="","",IFERROR(INDEX('02_DS_Nhan_Viec'!$E:$E,MATCH($B15,'02_DS_Nhan_Viec'!$B:$B,0)),""))</f>
        <v>46252</v>
      </c>
      <c r="G15" s="68">
        <f t="shared" si="1"/>
        <v>46252</v>
      </c>
      <c r="H15" s="68">
        <f t="shared" si="2"/>
        <v>46266</v>
      </c>
      <c r="I15" s="68"/>
      <c r="J15" s="61"/>
      <c r="K15" s="61"/>
      <c r="L15" s="61"/>
      <c r="M15" s="61"/>
      <c r="N15" s="61"/>
      <c r="O15" s="61"/>
      <c r="P15" s="92"/>
      <c r="Q15" s="92"/>
      <c r="R15" s="93">
        <f t="shared" si="3"/>
      </c>
      <c r="S15" s="61"/>
      <c r="T15" s="61"/>
      <c r="U15" s="61"/>
      <c r="V15" s="61"/>
      <c r="W15" s="61">
        <f t="shared" si="4"/>
      </c>
      <c r="X15" s="94">
        <f t="shared" si="5"/>
      </c>
      <c r="Y15" s="94">
        <f t="shared" si="6"/>
      </c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95"/>
      <c r="AM15" s="61"/>
      <c r="AN15" s="61"/>
      <c r="AO15" s="68"/>
      <c r="AP15" s="61"/>
      <c r="AQ15" s="61"/>
      <c r="AR15" s="61"/>
      <c r="AS15" s="61"/>
      <c r="AT15" s="61"/>
      <c r="AU15" s="61"/>
      <c r="AV15" s="92"/>
      <c r="AW15" s="92"/>
      <c r="AX15" s="93">
        <f t="shared" si="7"/>
      </c>
      <c r="AY15" s="61"/>
      <c r="AZ15" s="61"/>
      <c r="BA15" s="61"/>
      <c r="BB15" s="61"/>
      <c r="BC15" s="61">
        <f t="shared" si="8"/>
      </c>
      <c r="BD15" s="94">
        <f t="shared" si="9"/>
      </c>
      <c r="BE15" s="94">
        <f t="shared" si="10"/>
      </c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95"/>
      <c r="BS15" s="61"/>
      <c r="BT15" s="61"/>
    </row>
    <row r="16" ht="14.25" customHeight="1" spans="1:72" x14ac:dyDescent="0.25">
      <c r="A16" s="61">
        <f t="shared" si="0"/>
        <v>15</v>
      </c>
      <c r="B16" s="61" t="str">
        <f t="array" ref="B16">IFERROR(INDEX('02_DS_Nhan_Viec'!$B:$B,MATCH(ROW()-1,'02_DS_Nhan_Viec'!$M:$M,0)),"")</f>
        <v>UV0826-014</v>
      </c>
      <c r="C16" s="61" t="str">
        <f t="array" ref="C16">IF($B16="","",IFERROR(INDEX('01_UngVien_PhongVan'!$D:$D,MATCH($B16,'01_UngVien_PhongVan'!$B:$B,0)),"Không tìm thấy mã ứng viên"))</f>
        <v>Phan Văn Cánh</v>
      </c>
      <c r="D16" s="61" t="str">
        <f t="array" ref="D16">IF($B16="","",IFERROR(INDEX('01_UngVien_PhongVan'!$R:$R,MATCH($B16,'01_UngVien_PhongVan'!$B:$B,0)),""))</f>
        <v>Tổ trưởng</v>
      </c>
      <c r="E16" s="61">
        <f t="array" ref="E16">IF($B16="","",IFERROR(INDEX('02_DS_Nhan_Viec'!$H:$H,MATCH($B16,'02_DS_Nhan_Viec'!$B:$B,0)),""))</f>
      </c>
      <c r="F16" s="68">
        <f t="array" ref="F16">IF($B16="","",IFERROR(INDEX('02_DS_Nhan_Viec'!$E:$E,MATCH($B16,'02_DS_Nhan_Viec'!$B:$B,0)),""))</f>
        <v>46256</v>
      </c>
      <c r="G16" s="68">
        <f t="shared" si="1"/>
        <v>46256</v>
      </c>
      <c r="H16" s="68">
        <f t="shared" si="2"/>
        <v>46270</v>
      </c>
      <c r="I16" s="68"/>
      <c r="J16" s="61"/>
      <c r="K16" s="61"/>
      <c r="L16" s="61"/>
      <c r="M16" s="61"/>
      <c r="N16" s="61"/>
      <c r="O16" s="61"/>
      <c r="P16" s="92"/>
      <c r="Q16" s="92"/>
      <c r="R16" s="93">
        <f t="shared" si="3"/>
      </c>
      <c r="S16" s="61"/>
      <c r="T16" s="61"/>
      <c r="U16" s="61"/>
      <c r="V16" s="61"/>
      <c r="W16" s="61">
        <f t="shared" si="4"/>
      </c>
      <c r="X16" s="94">
        <f t="shared" si="5"/>
      </c>
      <c r="Y16" s="94">
        <f t="shared" si="6"/>
      </c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95"/>
      <c r="AM16" s="61"/>
      <c r="AN16" s="61"/>
      <c r="AO16" s="68"/>
      <c r="AP16" s="61"/>
      <c r="AQ16" s="61"/>
      <c r="AR16" s="61"/>
      <c r="AS16" s="61"/>
      <c r="AT16" s="61"/>
      <c r="AU16" s="61"/>
      <c r="AV16" s="92"/>
      <c r="AW16" s="92"/>
      <c r="AX16" s="93">
        <f t="shared" si="7"/>
      </c>
      <c r="AY16" s="61"/>
      <c r="AZ16" s="61"/>
      <c r="BA16" s="61"/>
      <c r="BB16" s="61"/>
      <c r="BC16" s="61">
        <f t="shared" si="8"/>
      </c>
      <c r="BD16" s="94">
        <f t="shared" si="9"/>
      </c>
      <c r="BE16" s="94">
        <f t="shared" si="10"/>
      </c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95"/>
      <c r="BS16" s="61"/>
      <c r="BT16" s="61"/>
    </row>
    <row r="17" ht="14.25" customHeight="1" spans="1:72" x14ac:dyDescent="0.25">
      <c r="A17" s="61">
        <f t="shared" si="0"/>
        <v>16</v>
      </c>
      <c r="B17" s="61" t="str">
        <f t="array" ref="B17">IFERROR(INDEX('02_DS_Nhan_Viec'!$B:$B,MATCH(ROW()-1,'02_DS_Nhan_Viec'!$M:$M,0)),"")</f>
        <v>UV0826-015</v>
      </c>
      <c r="C17" s="61" t="str">
        <f t="array" ref="C17">IF($B17="","",IFERROR(INDEX('01_UngVien_PhongVan'!$D:$D,MATCH($B17,'01_UngVien_PhongVan'!$B:$B,0)),"Không tìm thấy mã ứng viên"))</f>
        <v>Nguyễn Văn Nhơn</v>
      </c>
      <c r="D17" s="61" t="str">
        <f t="array" ref="D17">IF($B17="","",IFERROR(INDEX('01_UngVien_PhongVan'!$R:$R,MATCH($B17,'01_UngVien_PhongVan'!$B:$B,0)),""))</f>
        <v>Giao nhận hàng</v>
      </c>
      <c r="E17" s="61">
        <f t="array" ref="E17">IF($B17="","",IFERROR(INDEX('02_DS_Nhan_Viec'!$H:$H,MATCH($B17,'02_DS_Nhan_Viec'!$B:$B,0)),""))</f>
      </c>
      <c r="F17" s="68">
        <f t="array" ref="F17">IF($B17="","",IFERROR(INDEX('02_DS_Nhan_Viec'!$E:$E,MATCH($B17,'02_DS_Nhan_Viec'!$B:$B,0)),""))</f>
        <v>46256</v>
      </c>
      <c r="G17" s="68">
        <f t="shared" si="1"/>
        <v>46256</v>
      </c>
      <c r="H17" s="68">
        <f t="shared" si="2"/>
        <v>46270</v>
      </c>
      <c r="I17" s="68"/>
      <c r="J17" s="61"/>
      <c r="K17" s="61"/>
      <c r="L17" s="61"/>
      <c r="M17" s="61"/>
      <c r="N17" s="61"/>
      <c r="O17" s="61"/>
      <c r="P17" s="92"/>
      <c r="Q17" s="92"/>
      <c r="R17" s="93">
        <f t="shared" si="3"/>
      </c>
      <c r="S17" s="61"/>
      <c r="T17" s="61"/>
      <c r="U17" s="61"/>
      <c r="V17" s="61"/>
      <c r="W17" s="61">
        <f t="shared" si="4"/>
      </c>
      <c r="X17" s="94">
        <f t="shared" si="5"/>
      </c>
      <c r="Y17" s="94">
        <f t="shared" si="6"/>
      </c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95"/>
      <c r="AM17" s="61"/>
      <c r="AN17" s="61"/>
      <c r="AO17" s="96">
        <v>46269</v>
      </c>
      <c r="AP17" s="97" t="s">
        <v>687</v>
      </c>
      <c r="AQ17" s="97" t="s">
        <v>688</v>
      </c>
      <c r="AR17" s="97" t="s">
        <v>689</v>
      </c>
      <c r="AS17" s="97" t="s">
        <v>690</v>
      </c>
      <c r="AT17" s="97" t="s">
        <v>691</v>
      </c>
      <c r="AU17" s="61"/>
      <c r="AV17" s="92"/>
      <c r="AW17" s="92"/>
      <c r="AX17" s="93">
        <f t="shared" si="7"/>
      </c>
      <c r="AY17" s="61"/>
      <c r="AZ17" s="61"/>
      <c r="BA17" s="61"/>
      <c r="BB17" s="61"/>
      <c r="BC17" s="61">
        <f t="shared" si="8"/>
      </c>
      <c r="BD17" s="94">
        <f t="shared" si="9"/>
      </c>
      <c r="BE17" s="94">
        <f t="shared" si="10"/>
      </c>
      <c r="BF17" s="61"/>
      <c r="BG17" s="97" t="s">
        <v>692</v>
      </c>
      <c r="BH17" s="61"/>
      <c r="BI17" s="61"/>
      <c r="BJ17" s="61"/>
      <c r="BK17" s="61"/>
      <c r="BL17" s="61"/>
      <c r="BM17" s="61"/>
      <c r="BN17" s="61"/>
      <c r="BO17" s="97" t="s">
        <v>693</v>
      </c>
      <c r="BP17" s="97" t="s">
        <v>401</v>
      </c>
      <c r="BQ17" s="97" t="s">
        <v>687</v>
      </c>
      <c r="BR17" s="95"/>
      <c r="BS17" s="61"/>
      <c r="BT17" s="61"/>
    </row>
    <row r="18" ht="14.25" customHeight="1" spans="1:72" x14ac:dyDescent="0.25">
      <c r="A18" s="61">
        <f t="shared" si="0"/>
        <v>17</v>
      </c>
      <c r="B18" s="61" t="str">
        <f t="array" ref="B18">IFERROR(INDEX('02_DS_Nhan_Viec'!$B:$B,MATCH(ROW()-1,'02_DS_Nhan_Viec'!$M:$M,0)),"")</f>
        <v>UV0826-016</v>
      </c>
      <c r="C18" s="61" t="str">
        <f t="array" ref="C18">IF($B18="","",IFERROR(INDEX('01_UngVien_PhongVan'!$D:$D,MATCH($B18,'01_UngVien_PhongVan'!$B:$B,0)),"Không tìm thấy mã ứng viên"))</f>
        <v>Nguyễn Nam Phương</v>
      </c>
      <c r="D18" s="61" t="str">
        <f t="array" ref="D18">IF($B18="","",IFERROR(INDEX('01_UngVien_PhongVan'!$R:$R,MATCH($B18,'01_UngVien_PhongVan'!$B:$B,0)),""))</f>
        <v>Đào tạo may</v>
      </c>
      <c r="E18" s="61">
        <f t="array" ref="E18">IF($B18="","",IFERROR(INDEX('02_DS_Nhan_Viec'!$H:$H,MATCH($B18,'02_DS_Nhan_Viec'!$B:$B,0)),""))</f>
      </c>
      <c r="F18" s="68">
        <f t="array" ref="F18">IF($B18="","",IFERROR(INDEX('02_DS_Nhan_Viec'!$E:$E,MATCH($B18,'02_DS_Nhan_Viec'!$B:$B,0)),""))</f>
        <v>46256</v>
      </c>
      <c r="G18" s="68">
        <f t="shared" si="1"/>
        <v>46256</v>
      </c>
      <c r="H18" s="68">
        <f t="shared" si="2"/>
        <v>46270</v>
      </c>
      <c r="I18" s="68"/>
      <c r="J18" s="61"/>
      <c r="K18" s="61"/>
      <c r="L18" s="61"/>
      <c r="M18" s="61"/>
      <c r="N18" s="61"/>
      <c r="O18" s="61"/>
      <c r="P18" s="92"/>
      <c r="Q18" s="92"/>
      <c r="R18" s="93">
        <f t="shared" si="3"/>
      </c>
      <c r="S18" s="61"/>
      <c r="T18" s="61"/>
      <c r="U18" s="61"/>
      <c r="V18" s="61"/>
      <c r="W18" s="61">
        <f t="shared" si="4"/>
      </c>
      <c r="X18" s="94">
        <f t="shared" si="5"/>
      </c>
      <c r="Y18" s="94">
        <f t="shared" si="6"/>
      </c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95"/>
      <c r="AM18" s="61"/>
      <c r="AN18" s="61"/>
      <c r="AO18" s="68"/>
      <c r="AP18" s="61"/>
      <c r="AQ18" s="61"/>
      <c r="AR18" s="61"/>
      <c r="AS18" s="61"/>
      <c r="AT18" s="61"/>
      <c r="AU18" s="61"/>
      <c r="AV18" s="92"/>
      <c r="AW18" s="92"/>
      <c r="AX18" s="93">
        <f t="shared" si="7"/>
      </c>
      <c r="AY18" s="61"/>
      <c r="AZ18" s="61"/>
      <c r="BA18" s="61"/>
      <c r="BB18" s="61"/>
      <c r="BC18" s="61">
        <f t="shared" si="8"/>
      </c>
      <c r="BD18" s="94">
        <f t="shared" si="9"/>
      </c>
      <c r="BE18" s="94">
        <f t="shared" si="10"/>
      </c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95"/>
      <c r="BS18" s="61"/>
      <c r="BT18" s="61"/>
    </row>
    <row r="19" ht="14.25" customHeight="1" spans="1:72" x14ac:dyDescent="0.25">
      <c r="A19" s="61">
        <f t="shared" si="0"/>
        <v>18</v>
      </c>
      <c r="B19" s="61" t="str">
        <f t="array" ref="B19">IFERROR(INDEX('02_DS_Nhan_Viec'!$B:$B,MATCH(ROW()-1,'02_DS_Nhan_Viec'!$M:$M,0)),"")</f>
        <v>UV0826-017</v>
      </c>
      <c r="C19" s="61" t="str">
        <f t="array" ref="C19">IF($B19="","",IFERROR(INDEX('01_UngVien_PhongVan'!$D:$D,MATCH($B19,'01_UngVien_PhongVan'!$B:$B,0)),"Không tìm thấy mã ứng viên"))</f>
        <v>Thạch Thị Trúc Xuân</v>
      </c>
      <c r="D19" s="61" t="str">
        <f t="array" ref="D19">IF($B19="","",IFERROR(INDEX('01_UngVien_PhongVan'!$R:$R,MATCH($B19,'01_UngVien_PhongVan'!$B:$B,0)),""))</f>
        <v>Học việc</v>
      </c>
      <c r="E19" s="61">
        <f t="array" ref="E19">IF($B19="","",IFERROR(INDEX('02_DS_Nhan_Viec'!$H:$H,MATCH($B19,'02_DS_Nhan_Viec'!$B:$B,0)),""))</f>
      </c>
      <c r="F19" s="68">
        <f t="array" ref="F19">IF($B19="","",IFERROR(INDEX('02_DS_Nhan_Viec'!$E:$E,MATCH($B19,'02_DS_Nhan_Viec'!$B:$B,0)),""))</f>
        <v>46256</v>
      </c>
      <c r="G19" s="68">
        <f t="shared" si="1"/>
        <v>46256</v>
      </c>
      <c r="H19" s="68">
        <f t="shared" si="2"/>
        <v>46270</v>
      </c>
      <c r="I19" s="68"/>
      <c r="J19" s="61"/>
      <c r="K19" s="61"/>
      <c r="L19" s="61"/>
      <c r="M19" s="61"/>
      <c r="N19" s="61"/>
      <c r="O19" s="61"/>
      <c r="P19" s="92"/>
      <c r="Q19" s="92"/>
      <c r="R19" s="93">
        <f t="shared" si="3"/>
      </c>
      <c r="S19" s="61"/>
      <c r="T19" s="61"/>
      <c r="U19" s="61"/>
      <c r="V19" s="61"/>
      <c r="W19" s="61">
        <f t="shared" si="4"/>
      </c>
      <c r="X19" s="94">
        <f t="shared" si="5"/>
      </c>
      <c r="Y19" s="94">
        <f t="shared" si="6"/>
      </c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95"/>
      <c r="AM19" s="61"/>
      <c r="AN19" s="61"/>
      <c r="AO19" s="96">
        <v>46269</v>
      </c>
      <c r="AP19" s="97" t="s">
        <v>14</v>
      </c>
      <c r="AQ19" s="97" t="s">
        <v>688</v>
      </c>
      <c r="AR19" s="97" t="s">
        <v>689</v>
      </c>
      <c r="AS19" s="97" t="s">
        <v>694</v>
      </c>
      <c r="AT19" s="97" t="s">
        <v>695</v>
      </c>
      <c r="AU19" s="97" t="s">
        <v>279</v>
      </c>
      <c r="AV19" s="92"/>
      <c r="AW19" s="92"/>
      <c r="AX19" s="93">
        <f t="shared" si="7"/>
      </c>
      <c r="AY19" s="98">
        <v>0.1</v>
      </c>
      <c r="AZ19" s="61"/>
      <c r="BA19" s="61"/>
      <c r="BB19" s="97">
        <v>55</v>
      </c>
      <c r="BC19" s="97">
        <v>45</v>
      </c>
      <c r="BD19" s="98">
        <v>0.55</v>
      </c>
      <c r="BE19" s="98">
        <v>0.1</v>
      </c>
      <c r="BF19" s="97" t="s">
        <v>696</v>
      </c>
      <c r="BG19" s="61"/>
      <c r="BH19" s="61"/>
      <c r="BI19" s="61"/>
      <c r="BJ19" s="61"/>
      <c r="BK19" s="61"/>
      <c r="BL19" s="61"/>
      <c r="BM19" s="61"/>
      <c r="BN19" s="61"/>
      <c r="BO19" s="97" t="s">
        <v>693</v>
      </c>
      <c r="BP19" s="97" t="s">
        <v>279</v>
      </c>
      <c r="BQ19" s="97" t="s">
        <v>14</v>
      </c>
      <c r="BR19" s="99" t="s">
        <v>697</v>
      </c>
      <c r="BS19" s="61"/>
      <c r="BT19" s="61"/>
    </row>
    <row r="20" ht="14.25" customHeight="1" spans="1:72" x14ac:dyDescent="0.25">
      <c r="A20" s="61">
        <f t="shared" si="0"/>
        <v>19</v>
      </c>
      <c r="B20" s="61" t="str">
        <f t="array" ref="B20">IFERROR(INDEX('02_DS_Nhan_Viec'!$B:$B,MATCH(ROW()-1,'02_DS_Nhan_Viec'!$M:$M,0)),"")</f>
        <v>UV0826-023</v>
      </c>
      <c r="C20" s="61" t="str">
        <f t="array" ref="C20">IF($B20="","",IFERROR(INDEX('01_UngVien_PhongVan'!$D:$D,MATCH($B20,'01_UngVien_PhongVan'!$B:$B,0)),"Không tìm thấy mã ứng viên"))</f>
        <v>Nguyễn Văn Triết</v>
      </c>
      <c r="D20" s="61" t="str">
        <f t="array" ref="D20">IF($B20="","",IFERROR(INDEX('01_UngVien_PhongVan'!$R:$R,MATCH($B20,'01_UngVien_PhongVan'!$B:$B,0)),""))</f>
        <v>Chặt</v>
      </c>
      <c r="E20" s="61">
        <f t="array" ref="E20">IF($B20="","",IFERROR(INDEX('02_DS_Nhan_Viec'!$H:$H,MATCH($B20,'02_DS_Nhan_Viec'!$B:$B,0)),""))</f>
      </c>
      <c r="F20" s="68">
        <f t="array" ref="F20">IF($B20="","",IFERROR(INDEX('02_DS_Nhan_Viec'!$E:$E,MATCH($B20,'02_DS_Nhan_Viec'!$B:$B,0)),""))</f>
        <v>46268</v>
      </c>
      <c r="G20" s="68">
        <f t="shared" si="1"/>
        <v>46268</v>
      </c>
      <c r="H20" s="68">
        <f t="shared" si="2"/>
        <v>46282</v>
      </c>
      <c r="I20" s="68"/>
      <c r="J20" s="61"/>
      <c r="K20" s="61"/>
      <c r="L20" s="61"/>
      <c r="M20" s="61"/>
      <c r="N20" s="61"/>
      <c r="O20" s="61"/>
      <c r="P20" s="92"/>
      <c r="Q20" s="92"/>
      <c r="R20" s="93">
        <f t="shared" si="3"/>
      </c>
      <c r="S20" s="61"/>
      <c r="T20" s="61"/>
      <c r="U20" s="61"/>
      <c r="V20" s="61"/>
      <c r="W20" s="61">
        <f t="shared" si="4"/>
      </c>
      <c r="X20" s="94">
        <f t="shared" si="5"/>
      </c>
      <c r="Y20" s="94">
        <f t="shared" si="6"/>
      </c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95"/>
      <c r="AM20" s="61"/>
      <c r="AN20" s="61"/>
      <c r="AO20" s="68"/>
      <c r="AP20" s="61"/>
      <c r="AQ20" s="61"/>
      <c r="AR20" s="61"/>
      <c r="AS20" s="61"/>
      <c r="AT20" s="61"/>
      <c r="AU20" s="61"/>
      <c r="AV20" s="92"/>
      <c r="AW20" s="92"/>
      <c r="AX20" s="93">
        <f t="shared" si="7"/>
      </c>
      <c r="AY20" s="61"/>
      <c r="AZ20" s="61"/>
      <c r="BA20" s="61"/>
      <c r="BB20" s="61"/>
      <c r="BC20" s="61">
        <f t="shared" ref="BC20:BC225" si="11">IF(OR($BA20="",$BB20=""),"",$BA20-$BB20)</f>
      </c>
      <c r="BD20" s="94">
        <f t="shared" ref="BD20:BD225" si="12">IF(OR($BA20="",$BA20=0,$BB20=""),"",$BB20/$BA20)</f>
      </c>
      <c r="BE20" s="94">
        <f t="shared" ref="BE20:BE225" si="13">IF(OR($AY20="",$AY20=0,$BA20=""),"",$BA20/$AY20)</f>
      </c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95"/>
      <c r="BS20" s="61"/>
      <c r="BT20" s="61"/>
    </row>
    <row r="21" ht="14.25" customHeight="1" spans="1:72" x14ac:dyDescent="0.25">
      <c r="A21" s="61">
        <f t="shared" si="0"/>
        <v>20</v>
      </c>
      <c r="B21" s="61" t="str">
        <f t="array" ref="B21">IFERROR(INDEX('02_DS_Nhan_Viec'!$B:$B,MATCH(ROW()-1,'02_DS_Nhan_Viec'!$M:$M,0)),"")</f>
        <v>UV0826-024</v>
      </c>
      <c r="C21" s="61" t="str">
        <f t="array" ref="C21">IF($B21="","",IFERROR(INDEX('01_UngVien_PhongVan'!$D:$D,MATCH($B21,'01_UngVien_PhongVan'!$B:$B,0)),"Không tìm thấy mã ứng viên"))</f>
        <v>Trần Thị Thuỳ</v>
      </c>
      <c r="D21" s="61" t="str">
        <f t="array" ref="D21">IF($B21="","",IFERROR(INDEX('01_UngVien_PhongVan'!$R:$R,MATCH($B21,'01_UngVien_PhongVan'!$B:$B,0)),""))</f>
        <v>Thợ thủ công</v>
      </c>
      <c r="E21" s="61">
        <f t="array" ref="E21">IF($B21="","",IFERROR(INDEX('02_DS_Nhan_Viec'!$H:$H,MATCH($B21,'02_DS_Nhan_Viec'!$B:$B,0)),""))</f>
      </c>
      <c r="F21" s="68">
        <f t="array" ref="F21">IF($B21="","",IFERROR(INDEX('02_DS_Nhan_Viec'!$E:$E,MATCH($B21,'02_DS_Nhan_Viec'!$B:$B,0)),""))</f>
        <v>46268</v>
      </c>
      <c r="G21" s="68">
        <f t="shared" si="1"/>
        <v>46268</v>
      </c>
      <c r="H21" s="68">
        <f t="shared" si="2"/>
        <v>46282</v>
      </c>
      <c r="I21" s="68"/>
      <c r="J21" s="61"/>
      <c r="K21" s="61"/>
      <c r="L21" s="61"/>
      <c r="M21" s="61"/>
      <c r="N21" s="61"/>
      <c r="O21" s="61"/>
      <c r="P21" s="92"/>
      <c r="Q21" s="92"/>
      <c r="R21" s="93">
        <f t="shared" si="3"/>
      </c>
      <c r="S21" s="61"/>
      <c r="T21" s="61"/>
      <c r="U21" s="61"/>
      <c r="V21" s="61"/>
      <c r="W21" s="61">
        <f t="shared" si="4"/>
      </c>
      <c r="X21" s="94">
        <f t="shared" si="5"/>
      </c>
      <c r="Y21" s="94">
        <f t="shared" si="6"/>
      </c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95"/>
      <c r="AM21" s="61"/>
      <c r="AN21" s="61"/>
      <c r="AO21" s="68"/>
      <c r="AP21" s="61"/>
      <c r="AQ21" s="61"/>
      <c r="AR21" s="61"/>
      <c r="AS21" s="61"/>
      <c r="AT21" s="61"/>
      <c r="AU21" s="61"/>
      <c r="AV21" s="92"/>
      <c r="AW21" s="92"/>
      <c r="AX21" s="93">
        <f t="shared" si="7"/>
      </c>
      <c r="AY21" s="61"/>
      <c r="AZ21" s="61"/>
      <c r="BA21" s="61"/>
      <c r="BB21" s="61"/>
      <c r="BC21" s="61">
        <f t="shared" si="11"/>
      </c>
      <c r="BD21" s="94">
        <f t="shared" si="12"/>
      </c>
      <c r="BE21" s="94">
        <f t="shared" si="13"/>
      </c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95"/>
      <c r="BS21" s="61"/>
      <c r="BT21" s="61"/>
    </row>
    <row r="22" ht="14.25" customHeight="1" spans="1:72" x14ac:dyDescent="0.25">
      <c r="A22" s="61">
        <f t="shared" si="0"/>
        <v>21</v>
      </c>
      <c r="B22" s="61" t="str">
        <f t="array" ref="B22">IFERROR(INDEX('02_DS_Nhan_Viec'!$B:$B,MATCH(ROW()-1,'02_DS_Nhan_Viec'!$M:$M,0)),"")</f>
        <v>UV0926-001</v>
      </c>
      <c r="C22" s="61" t="str">
        <f t="array" ref="C22">IF($B22="","",IFERROR(INDEX('01_UngVien_PhongVan'!$D:$D,MATCH($B22,'01_UngVien_PhongVan'!$B:$B,0)),"Không tìm thấy mã ứng viên"))</f>
        <v>Nguyễn Tuyết Ngân</v>
      </c>
      <c r="D22" s="61" t="str">
        <f t="array" ref="D22">IF($B22="","",IFERROR(INDEX('01_UngVien_PhongVan'!$R:$R,MATCH($B22,'01_UngVien_PhongVan'!$B:$B,0)),""))</f>
        <v>Thủ công</v>
      </c>
      <c r="E22" s="61">
        <f t="array" ref="E22">IF($B22="","",IFERROR(INDEX('02_DS_Nhan_Viec'!$H:$H,MATCH($B22,'02_DS_Nhan_Viec'!$B:$B,0)),""))</f>
      </c>
      <c r="F22" s="68">
        <f t="array" ref="F22">IF($B22="","",IFERROR(INDEX('02_DS_Nhan_Viec'!$E:$E,MATCH($B22,'02_DS_Nhan_Viec'!$B:$B,0)),""))</f>
        <v>46270</v>
      </c>
      <c r="G22" s="68">
        <f t="shared" si="1"/>
        <v>46270</v>
      </c>
      <c r="H22" s="68">
        <f t="shared" si="2"/>
        <v>46284</v>
      </c>
      <c r="I22" s="68"/>
      <c r="J22" s="61"/>
      <c r="K22" s="61"/>
      <c r="L22" s="61"/>
      <c r="M22" s="61"/>
      <c r="N22" s="61"/>
      <c r="O22" s="61"/>
      <c r="P22" s="92"/>
      <c r="Q22" s="92"/>
      <c r="R22" s="93">
        <f t="shared" si="3"/>
      </c>
      <c r="S22" s="61"/>
      <c r="T22" s="61"/>
      <c r="U22" s="61"/>
      <c r="V22" s="61"/>
      <c r="W22" s="61">
        <f t="shared" si="4"/>
      </c>
      <c r="X22" s="94">
        <f t="shared" si="5"/>
      </c>
      <c r="Y22" s="94">
        <f t="shared" si="6"/>
      </c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95"/>
      <c r="AM22" s="61"/>
      <c r="AN22" s="61"/>
      <c r="AO22" s="68"/>
      <c r="AP22" s="61"/>
      <c r="AQ22" s="61"/>
      <c r="AR22" s="61"/>
      <c r="AS22" s="61"/>
      <c r="AT22" s="61"/>
      <c r="AU22" s="61"/>
      <c r="AV22" s="92"/>
      <c r="AW22" s="92"/>
      <c r="AX22" s="93">
        <f t="shared" si="7"/>
      </c>
      <c r="AY22" s="61"/>
      <c r="AZ22" s="61"/>
      <c r="BA22" s="61"/>
      <c r="BB22" s="61"/>
      <c r="BC22" s="61">
        <f t="shared" si="11"/>
      </c>
      <c r="BD22" s="94">
        <f t="shared" si="12"/>
      </c>
      <c r="BE22" s="94">
        <f t="shared" si="13"/>
      </c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95"/>
      <c r="BS22" s="61"/>
      <c r="BT22" s="61"/>
    </row>
    <row r="23" ht="14.25" customHeight="1" spans="1:72" x14ac:dyDescent="0.25">
      <c r="A23" s="61">
        <f t="shared" si="0"/>
        <v>22</v>
      </c>
      <c r="B23" s="61" t="str">
        <f t="array" ref="B23">IFERROR(INDEX('02_DS_Nhan_Viec'!$B:$B,MATCH(ROW()-1,'02_DS_Nhan_Viec'!$M:$M,0)),"")</f>
        <v>UV0926-002</v>
      </c>
      <c r="C23" s="61" t="str">
        <f t="array" ref="C23">IF($B23="","",IFERROR(INDEX('01_UngVien_PhongVan'!$D:$D,MATCH($B23,'01_UngVien_PhongVan'!$B:$B,0)),"Không tìm thấy mã ứng viên"))</f>
        <v>Thạch Thị Giàu</v>
      </c>
      <c r="D23" s="61" t="str">
        <f t="array" ref="D23">IF($B23="","",IFERROR(INDEX('01_UngVien_PhongVan'!$R:$R,MATCH($B23,'01_UngVien_PhongVan'!$B:$B,0)),""))</f>
        <v>Đào tạo may</v>
      </c>
      <c r="E23" s="61">
        <f t="array" ref="E23">IF($B23="","",IFERROR(INDEX('02_DS_Nhan_Viec'!$H:$H,MATCH($B23,'02_DS_Nhan_Viec'!$B:$B,0)),""))</f>
      </c>
      <c r="F23" s="68">
        <f t="array" ref="F23">IF($B23="","",IFERROR(INDEX('02_DS_Nhan_Viec'!$E:$E,MATCH($B23,'02_DS_Nhan_Viec'!$B:$B,0)),""))</f>
        <v>46270</v>
      </c>
      <c r="G23" s="68">
        <f t="shared" si="1"/>
        <v>46270</v>
      </c>
      <c r="H23" s="68">
        <f t="shared" si="2"/>
        <v>46284</v>
      </c>
      <c r="I23" s="68"/>
      <c r="J23" s="61"/>
      <c r="K23" s="61"/>
      <c r="L23" s="61"/>
      <c r="M23" s="61"/>
      <c r="N23" s="61"/>
      <c r="O23" s="61"/>
      <c r="P23" s="92"/>
      <c r="Q23" s="92"/>
      <c r="R23" s="93">
        <f t="shared" si="3"/>
      </c>
      <c r="S23" s="61"/>
      <c r="T23" s="61"/>
      <c r="U23" s="61"/>
      <c r="V23" s="61"/>
      <c r="W23" s="61">
        <f t="shared" si="4"/>
      </c>
      <c r="X23" s="94">
        <f t="shared" si="5"/>
      </c>
      <c r="Y23" s="94">
        <f t="shared" si="6"/>
      </c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95"/>
      <c r="AM23" s="61"/>
      <c r="AN23" s="61"/>
      <c r="AO23" s="68"/>
      <c r="AP23" s="61"/>
      <c r="AQ23" s="61"/>
      <c r="AR23" s="61"/>
      <c r="AS23" s="61"/>
      <c r="AT23" s="61"/>
      <c r="AU23" s="61"/>
      <c r="AV23" s="92"/>
      <c r="AW23" s="92"/>
      <c r="AX23" s="93">
        <f t="shared" si="7"/>
      </c>
      <c r="AY23" s="61"/>
      <c r="AZ23" s="61"/>
      <c r="BA23" s="61"/>
      <c r="BB23" s="61"/>
      <c r="BC23" s="61">
        <f t="shared" si="11"/>
      </c>
      <c r="BD23" s="94">
        <f t="shared" si="12"/>
      </c>
      <c r="BE23" s="94">
        <f t="shared" si="13"/>
      </c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95"/>
      <c r="BS23" s="61"/>
      <c r="BT23" s="61"/>
    </row>
    <row r="24" ht="14.25" customHeight="1" spans="1:72" x14ac:dyDescent="0.25">
      <c r="A24" s="61">
        <f t="shared" si="0"/>
        <v>23</v>
      </c>
      <c r="B24" s="61" t="str">
        <f t="array" ref="B24">IFERROR(INDEX('02_DS_Nhan_Viec'!$B:$B,MATCH(ROW()-1,'02_DS_Nhan_Viec'!$M:$M,0)),"")</f>
        <v>UV0926-005</v>
      </c>
      <c r="C24" s="61" t="str">
        <f t="array" ref="C24">IF($B24="","",IFERROR(INDEX('01_UngVien_PhongVan'!$D:$D,MATCH($B24,'01_UngVien_PhongVan'!$B:$B,0)),"Không tìm thấy mã ứng viên"))</f>
        <v>Trần Nguyễn Văn Mạnh</v>
      </c>
      <c r="D24" s="61" t="str">
        <f t="array" ref="D24">IF($B24="","",IFERROR(INDEX('01_UngVien_PhongVan'!$R:$R,MATCH($B24,'01_UngVien_PhongVan'!$B:$B,0)),""))</f>
        <v>Chặt</v>
      </c>
      <c r="E24" s="61" t="str">
        <f t="array" ref="E24">IF($B24="","",IFERROR(INDEX('02_DS_Nhan_Viec'!$H:$H,MATCH($B24,'02_DS_Nhan_Viec'!$B:$B,0)),""))</f>
        <v>Chặt</v>
      </c>
      <c r="F24" s="68">
        <f t="array" ref="F24">IF($B24="","",IFERROR(INDEX('02_DS_Nhan_Viec'!$E:$E,MATCH($B24,'02_DS_Nhan_Viec'!$B:$B,0)),""))</f>
        <v>46270</v>
      </c>
      <c r="G24" s="68">
        <f t="shared" si="1"/>
        <v>46270</v>
      </c>
      <c r="H24" s="68">
        <f t="shared" si="2"/>
        <v>46284</v>
      </c>
      <c r="I24" s="68"/>
      <c r="J24" s="61"/>
      <c r="K24" s="61"/>
      <c r="L24" s="61"/>
      <c r="M24" s="61"/>
      <c r="N24" s="61"/>
      <c r="O24" s="61"/>
      <c r="P24" s="92"/>
      <c r="Q24" s="92"/>
      <c r="R24" s="93">
        <f t="shared" si="3"/>
      </c>
      <c r="S24" s="61"/>
      <c r="T24" s="61"/>
      <c r="U24" s="61"/>
      <c r="V24" s="61"/>
      <c r="W24" s="61">
        <f t="shared" si="4"/>
      </c>
      <c r="X24" s="94">
        <f t="shared" si="5"/>
      </c>
      <c r="Y24" s="94">
        <f t="shared" si="6"/>
      </c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95"/>
      <c r="AM24" s="61"/>
      <c r="AN24" s="61"/>
      <c r="AO24" s="68"/>
      <c r="AP24" s="61"/>
      <c r="AQ24" s="61"/>
      <c r="AR24" s="61"/>
      <c r="AS24" s="61"/>
      <c r="AT24" s="61"/>
      <c r="AU24" s="61"/>
      <c r="AV24" s="92"/>
      <c r="AW24" s="92"/>
      <c r="AX24" s="93">
        <f t="shared" si="7"/>
      </c>
      <c r="AY24" s="61"/>
      <c r="AZ24" s="61"/>
      <c r="BA24" s="61"/>
      <c r="BB24" s="61"/>
      <c r="BC24" s="61">
        <f t="shared" si="11"/>
      </c>
      <c r="BD24" s="94">
        <f t="shared" si="12"/>
      </c>
      <c r="BE24" s="94">
        <f t="shared" si="13"/>
      </c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95"/>
      <c r="BS24" s="61"/>
      <c r="BT24" s="61"/>
    </row>
    <row r="25" ht="14.25" customHeight="1" spans="1:72" x14ac:dyDescent="0.25">
      <c r="A25" s="61">
        <f t="shared" si="0"/>
      </c>
      <c r="B25" s="61">
        <f t="array" ref="B25">IFERROR(INDEX('02_DS_Nhan_Viec'!$B:$B,MATCH(ROW()-1,'02_DS_Nhan_Viec'!$M:$M,0)),"")</f>
      </c>
      <c r="C25" s="61">
        <f t="array" ref="C25">IF($B25="","",IFERROR(INDEX('01_UngVien_PhongVan'!$D:$D,MATCH($B25,'01_UngVien_PhongVan'!$B:$B,0)),"Không tìm thấy mã ứng viên"))</f>
      </c>
      <c r="D25" s="61">
        <f t="array" ref="D25">IF($B25="","",IFERROR(INDEX('01_UngVien_PhongVan'!$R:$R,MATCH($B25,'01_UngVien_PhongVan'!$B:$B,0)),""))</f>
      </c>
      <c r="E25" s="61">
        <f t="array" ref="E25">IF($B25="","",IFERROR(INDEX('02_DS_Nhan_Viec'!$H:$H,MATCH($B25,'02_DS_Nhan_Viec'!$B:$B,0)),""))</f>
      </c>
      <c r="F25" s="68">
        <f t="array" ref="F25">IF($B25="","",IFERROR(INDEX('02_DS_Nhan_Viec'!$E:$E,MATCH($B25,'02_DS_Nhan_Viec'!$B:$B,0)),""))</f>
      </c>
      <c r="G25" s="68">
        <f t="shared" si="1"/>
      </c>
      <c r="H25" s="68">
        <f t="shared" si="2"/>
      </c>
      <c r="I25" s="68"/>
      <c r="J25" s="61"/>
      <c r="K25" s="61"/>
      <c r="L25" s="61"/>
      <c r="M25" s="61"/>
      <c r="N25" s="61"/>
      <c r="O25" s="61"/>
      <c r="P25" s="92"/>
      <c r="Q25" s="92"/>
      <c r="R25" s="93">
        <f t="shared" si="3"/>
      </c>
      <c r="S25" s="61"/>
      <c r="T25" s="61"/>
      <c r="U25" s="61"/>
      <c r="V25" s="61"/>
      <c r="W25" s="61">
        <f t="shared" si="4"/>
      </c>
      <c r="X25" s="94">
        <f t="shared" si="5"/>
      </c>
      <c r="Y25" s="94">
        <f t="shared" si="6"/>
      </c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95"/>
      <c r="AM25" s="61"/>
      <c r="AN25" s="61"/>
      <c r="AO25" s="68"/>
      <c r="AP25" s="61"/>
      <c r="AQ25" s="61"/>
      <c r="AR25" s="61"/>
      <c r="AS25" s="61"/>
      <c r="AT25" s="61"/>
      <c r="AU25" s="61"/>
      <c r="AV25" s="92"/>
      <c r="AW25" s="92"/>
      <c r="AX25" s="93">
        <f t="shared" si="7"/>
      </c>
      <c r="AY25" s="61"/>
      <c r="AZ25" s="61"/>
      <c r="BA25" s="61"/>
      <c r="BB25" s="61"/>
      <c r="BC25" s="61">
        <f t="shared" si="11"/>
      </c>
      <c r="BD25" s="94">
        <f t="shared" si="12"/>
      </c>
      <c r="BE25" s="94">
        <f t="shared" si="13"/>
      </c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95"/>
      <c r="BS25" s="61"/>
      <c r="BT25" s="61"/>
    </row>
    <row r="26" ht="14.25" customHeight="1" spans="1:72" x14ac:dyDescent="0.25">
      <c r="A26" s="61">
        <f t="shared" si="0"/>
      </c>
      <c r="B26" s="61">
        <f t="array" ref="B26">IFERROR(INDEX('02_DS_Nhan_Viec'!$B:$B,MATCH(ROW()-1,'02_DS_Nhan_Viec'!$M:$M,0)),"")</f>
      </c>
      <c r="C26" s="61">
        <f t="array" ref="C26">IF($B26="","",IFERROR(INDEX('01_UngVien_PhongVan'!$D:$D,MATCH($B26,'01_UngVien_PhongVan'!$B:$B,0)),"Không tìm thấy mã ứng viên"))</f>
      </c>
      <c r="D26" s="61">
        <f t="array" ref="D26">IF($B26="","",IFERROR(INDEX('01_UngVien_PhongVan'!$R:$R,MATCH($B26,'01_UngVien_PhongVan'!$B:$B,0)),""))</f>
      </c>
      <c r="E26" s="61">
        <f t="array" ref="E26">IF($B26="","",IFERROR(INDEX('02_DS_Nhan_Viec'!$H:$H,MATCH($B26,'02_DS_Nhan_Viec'!$B:$B,0)),""))</f>
      </c>
      <c r="F26" s="68">
        <f t="array" ref="F26">IF($B26="","",IFERROR(INDEX('02_DS_Nhan_Viec'!$E:$E,MATCH($B26,'02_DS_Nhan_Viec'!$B:$B,0)),""))</f>
      </c>
      <c r="G26" s="68">
        <f t="shared" si="1"/>
      </c>
      <c r="H26" s="68">
        <f t="shared" si="2"/>
      </c>
      <c r="I26" s="68"/>
      <c r="J26" s="61"/>
      <c r="K26" s="61"/>
      <c r="L26" s="61"/>
      <c r="M26" s="61"/>
      <c r="N26" s="61"/>
      <c r="O26" s="61"/>
      <c r="P26" s="92"/>
      <c r="Q26" s="92"/>
      <c r="R26" s="93">
        <f t="shared" si="3"/>
      </c>
      <c r="S26" s="61"/>
      <c r="T26" s="61"/>
      <c r="U26" s="61"/>
      <c r="V26" s="61"/>
      <c r="W26" s="61">
        <f t="shared" si="4"/>
      </c>
      <c r="X26" s="94">
        <f t="shared" si="5"/>
      </c>
      <c r="Y26" s="94">
        <f t="shared" si="6"/>
      </c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95"/>
      <c r="AM26" s="61"/>
      <c r="AN26" s="61"/>
      <c r="AO26" s="68"/>
      <c r="AP26" s="61"/>
      <c r="AQ26" s="61"/>
      <c r="AR26" s="61"/>
      <c r="AS26" s="61"/>
      <c r="AT26" s="61"/>
      <c r="AU26" s="61"/>
      <c r="AV26" s="92"/>
      <c r="AW26" s="92"/>
      <c r="AX26" s="93">
        <f t="shared" si="7"/>
      </c>
      <c r="AY26" s="61"/>
      <c r="AZ26" s="61"/>
      <c r="BA26" s="61"/>
      <c r="BB26" s="61"/>
      <c r="BC26" s="61">
        <f t="shared" si="11"/>
      </c>
      <c r="BD26" s="94">
        <f t="shared" si="12"/>
      </c>
      <c r="BE26" s="94">
        <f t="shared" si="13"/>
      </c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95"/>
      <c r="BS26" s="61"/>
      <c r="BT26" s="61"/>
    </row>
    <row r="27" ht="14.25" customHeight="1" spans="1:72" x14ac:dyDescent="0.25">
      <c r="A27" s="61">
        <f t="shared" si="0"/>
      </c>
      <c r="B27" s="61">
        <f t="array" ref="B27">IFERROR(INDEX('02_DS_Nhan_Viec'!$B:$B,MATCH(ROW()-1,'02_DS_Nhan_Viec'!$M:$M,0)),"")</f>
      </c>
      <c r="C27" s="61">
        <f t="array" ref="C27">IF($B27="","",IFERROR(INDEX('01_UngVien_PhongVan'!$D:$D,MATCH($B27,'01_UngVien_PhongVan'!$B:$B,0)),"Không tìm thấy mã ứng viên"))</f>
      </c>
      <c r="D27" s="61">
        <f t="array" ref="D27">IF($B27="","",IFERROR(INDEX('01_UngVien_PhongVan'!$R:$R,MATCH($B27,'01_UngVien_PhongVan'!$B:$B,0)),""))</f>
      </c>
      <c r="E27" s="61">
        <f t="array" ref="E27">IF($B27="","",IFERROR(INDEX('02_DS_Nhan_Viec'!$H:$H,MATCH($B27,'02_DS_Nhan_Viec'!$B:$B,0)),""))</f>
      </c>
      <c r="F27" s="68">
        <f t="array" ref="F27">IF($B27="","",IFERROR(INDEX('02_DS_Nhan_Viec'!$E:$E,MATCH($B27,'02_DS_Nhan_Viec'!$B:$B,0)),""))</f>
      </c>
      <c r="G27" s="68">
        <f t="shared" si="1"/>
      </c>
      <c r="H27" s="68">
        <f t="shared" si="2"/>
      </c>
      <c r="I27" s="68"/>
      <c r="J27" s="61"/>
      <c r="K27" s="61"/>
      <c r="L27" s="61"/>
      <c r="M27" s="61"/>
      <c r="N27" s="61"/>
      <c r="O27" s="61"/>
      <c r="P27" s="92"/>
      <c r="Q27" s="92"/>
      <c r="R27" s="93">
        <f t="shared" si="3"/>
      </c>
      <c r="S27" s="61"/>
      <c r="T27" s="61"/>
      <c r="U27" s="61"/>
      <c r="V27" s="61"/>
      <c r="W27" s="61">
        <f t="shared" si="4"/>
      </c>
      <c r="X27" s="94">
        <f t="shared" si="5"/>
      </c>
      <c r="Y27" s="94">
        <f t="shared" si="6"/>
      </c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95"/>
      <c r="AM27" s="61"/>
      <c r="AN27" s="61"/>
      <c r="AO27" s="68"/>
      <c r="AP27" s="61"/>
      <c r="AQ27" s="61"/>
      <c r="AR27" s="61"/>
      <c r="AS27" s="61"/>
      <c r="AT27" s="61"/>
      <c r="AU27" s="61"/>
      <c r="AV27" s="92"/>
      <c r="AW27" s="92"/>
      <c r="AX27" s="93">
        <f t="shared" si="7"/>
      </c>
      <c r="AY27" s="61"/>
      <c r="AZ27" s="61"/>
      <c r="BA27" s="61"/>
      <c r="BB27" s="61"/>
      <c r="BC27" s="61">
        <f t="shared" si="11"/>
      </c>
      <c r="BD27" s="94">
        <f t="shared" si="12"/>
      </c>
      <c r="BE27" s="94">
        <f t="shared" si="13"/>
      </c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95"/>
      <c r="BS27" s="61"/>
      <c r="BT27" s="61"/>
    </row>
    <row r="28" ht="14.25" customHeight="1" spans="1:72" x14ac:dyDescent="0.25">
      <c r="A28" s="61">
        <f t="shared" si="0"/>
      </c>
      <c r="B28" s="61">
        <f t="array" ref="B28">IFERROR(INDEX('02_DS_Nhan_Viec'!$B:$B,MATCH(ROW()-1,'02_DS_Nhan_Viec'!$M:$M,0)),"")</f>
      </c>
      <c r="C28" s="61">
        <f t="array" ref="C28">IF($B28="","",IFERROR(INDEX('01_UngVien_PhongVan'!$D:$D,MATCH($B28,'01_UngVien_PhongVan'!$B:$B,0)),"Không tìm thấy mã ứng viên"))</f>
      </c>
      <c r="D28" s="61">
        <f t="array" ref="D28">IF($B28="","",IFERROR(INDEX('01_UngVien_PhongVan'!$R:$R,MATCH($B28,'01_UngVien_PhongVan'!$B:$B,0)),""))</f>
      </c>
      <c r="E28" s="61">
        <f t="array" ref="E28">IF($B28="","",IFERROR(INDEX('02_DS_Nhan_Viec'!$H:$H,MATCH($B28,'02_DS_Nhan_Viec'!$B:$B,0)),""))</f>
      </c>
      <c r="F28" s="68">
        <f t="array" ref="F28">IF($B28="","",IFERROR(INDEX('02_DS_Nhan_Viec'!$E:$E,MATCH($B28,'02_DS_Nhan_Viec'!$B:$B,0)),""))</f>
      </c>
      <c r="G28" s="68">
        <f t="shared" si="1"/>
      </c>
      <c r="H28" s="68">
        <f t="shared" si="2"/>
      </c>
      <c r="I28" s="68"/>
      <c r="J28" s="61"/>
      <c r="K28" s="61"/>
      <c r="L28" s="61"/>
      <c r="M28" s="61"/>
      <c r="N28" s="61"/>
      <c r="O28" s="61"/>
      <c r="P28" s="92"/>
      <c r="Q28" s="92"/>
      <c r="R28" s="93">
        <f t="shared" si="3"/>
      </c>
      <c r="S28" s="61"/>
      <c r="T28" s="61"/>
      <c r="U28" s="61"/>
      <c r="V28" s="61"/>
      <c r="W28" s="61">
        <f t="shared" si="4"/>
      </c>
      <c r="X28" s="94">
        <f t="shared" si="5"/>
      </c>
      <c r="Y28" s="94">
        <f t="shared" si="6"/>
      </c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95"/>
      <c r="AM28" s="61"/>
      <c r="AN28" s="61"/>
      <c r="AO28" s="68"/>
      <c r="AP28" s="61"/>
      <c r="AQ28" s="61"/>
      <c r="AR28" s="61"/>
      <c r="AS28" s="61"/>
      <c r="AT28" s="61"/>
      <c r="AU28" s="61"/>
      <c r="AV28" s="92"/>
      <c r="AW28" s="92"/>
      <c r="AX28" s="93">
        <f t="shared" si="7"/>
      </c>
      <c r="AY28" s="61"/>
      <c r="AZ28" s="61"/>
      <c r="BA28" s="61"/>
      <c r="BB28" s="61"/>
      <c r="BC28" s="61">
        <f t="shared" si="11"/>
      </c>
      <c r="BD28" s="94">
        <f t="shared" si="12"/>
      </c>
      <c r="BE28" s="94">
        <f t="shared" si="13"/>
      </c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95"/>
      <c r="BS28" s="61"/>
      <c r="BT28" s="61"/>
    </row>
    <row r="29" ht="14.25" customHeight="1" spans="1:72" x14ac:dyDescent="0.25">
      <c r="A29" s="61">
        <f t="shared" si="0"/>
      </c>
      <c r="B29" s="61">
        <f t="array" ref="B29">IFERROR(INDEX('02_DS_Nhan_Viec'!$B:$B,MATCH(ROW()-1,'02_DS_Nhan_Viec'!$M:$M,0)),"")</f>
      </c>
      <c r="C29" s="61">
        <f t="array" ref="C29">IF($B29="","",IFERROR(INDEX('01_UngVien_PhongVan'!$D:$D,MATCH($B29,'01_UngVien_PhongVan'!$B:$B,0)),"Không tìm thấy mã ứng viên"))</f>
      </c>
      <c r="D29" s="61">
        <f t="array" ref="D29">IF($B29="","",IFERROR(INDEX('01_UngVien_PhongVan'!$R:$R,MATCH($B29,'01_UngVien_PhongVan'!$B:$B,0)),""))</f>
      </c>
      <c r="E29" s="61">
        <f t="array" ref="E29">IF($B29="","",IFERROR(INDEX('02_DS_Nhan_Viec'!$H:$H,MATCH($B29,'02_DS_Nhan_Viec'!$B:$B,0)),""))</f>
      </c>
      <c r="F29" s="68">
        <f t="array" ref="F29">IF($B29="","",IFERROR(INDEX('02_DS_Nhan_Viec'!$E:$E,MATCH($B29,'02_DS_Nhan_Viec'!$B:$B,0)),""))</f>
      </c>
      <c r="G29" s="68">
        <f t="shared" si="1"/>
      </c>
      <c r="H29" s="68">
        <f t="shared" si="2"/>
      </c>
      <c r="I29" s="68"/>
      <c r="J29" s="61"/>
      <c r="K29" s="61"/>
      <c r="L29" s="61"/>
      <c r="M29" s="61"/>
      <c r="N29" s="61"/>
      <c r="O29" s="61"/>
      <c r="P29" s="92"/>
      <c r="Q29" s="92"/>
      <c r="R29" s="93">
        <f t="shared" si="3"/>
      </c>
      <c r="S29" s="61"/>
      <c r="T29" s="61"/>
      <c r="U29" s="61"/>
      <c r="V29" s="61"/>
      <c r="W29" s="61">
        <f t="shared" si="4"/>
      </c>
      <c r="X29" s="94">
        <f t="shared" si="5"/>
      </c>
      <c r="Y29" s="94">
        <f t="shared" si="6"/>
      </c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95"/>
      <c r="AM29" s="61"/>
      <c r="AN29" s="61"/>
      <c r="AO29" s="68"/>
      <c r="AP29" s="61"/>
      <c r="AQ29" s="61"/>
      <c r="AR29" s="61"/>
      <c r="AS29" s="61"/>
      <c r="AT29" s="61"/>
      <c r="AU29" s="61"/>
      <c r="AV29" s="92"/>
      <c r="AW29" s="92"/>
      <c r="AX29" s="93">
        <f t="shared" si="7"/>
      </c>
      <c r="AY29" s="61"/>
      <c r="AZ29" s="61"/>
      <c r="BA29" s="61"/>
      <c r="BB29" s="61"/>
      <c r="BC29" s="61">
        <f t="shared" si="11"/>
      </c>
      <c r="BD29" s="94">
        <f t="shared" si="12"/>
      </c>
      <c r="BE29" s="94">
        <f t="shared" si="13"/>
      </c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95"/>
      <c r="BS29" s="61"/>
      <c r="BT29" s="61"/>
    </row>
    <row r="30" ht="14.25" customHeight="1" spans="1:72" x14ac:dyDescent="0.25">
      <c r="A30" s="61">
        <f t="shared" si="0"/>
      </c>
      <c r="B30" s="61">
        <f t="array" ref="B30">IFERROR(INDEX('02_DS_Nhan_Viec'!$B:$B,MATCH(ROW()-1,'02_DS_Nhan_Viec'!$M:$M,0)),"")</f>
      </c>
      <c r="C30" s="61">
        <f t="array" ref="C30">IF($B30="","",IFERROR(INDEX('01_UngVien_PhongVan'!$D:$D,MATCH($B30,'01_UngVien_PhongVan'!$B:$B,0)),"Không tìm thấy mã ứng viên"))</f>
      </c>
      <c r="D30" s="61">
        <f t="array" ref="D30">IF($B30="","",IFERROR(INDEX('01_UngVien_PhongVan'!$R:$R,MATCH($B30,'01_UngVien_PhongVan'!$B:$B,0)),""))</f>
      </c>
      <c r="E30" s="61">
        <f t="array" ref="E30">IF($B30="","",IFERROR(INDEX('02_DS_Nhan_Viec'!$H:$H,MATCH($B30,'02_DS_Nhan_Viec'!$B:$B,0)),""))</f>
      </c>
      <c r="F30" s="68">
        <f t="array" ref="F30">IF($B30="","",IFERROR(INDEX('02_DS_Nhan_Viec'!$E:$E,MATCH($B30,'02_DS_Nhan_Viec'!$B:$B,0)),""))</f>
      </c>
      <c r="G30" s="68">
        <f t="shared" si="1"/>
      </c>
      <c r="H30" s="68">
        <f t="shared" si="2"/>
      </c>
      <c r="I30" s="68"/>
      <c r="J30" s="61"/>
      <c r="K30" s="61"/>
      <c r="L30" s="61"/>
      <c r="M30" s="61"/>
      <c r="N30" s="61"/>
      <c r="O30" s="61"/>
      <c r="P30" s="92"/>
      <c r="Q30" s="92"/>
      <c r="R30" s="93">
        <f t="shared" si="3"/>
      </c>
      <c r="S30" s="61"/>
      <c r="T30" s="61"/>
      <c r="U30" s="61"/>
      <c r="V30" s="61"/>
      <c r="W30" s="61">
        <f t="shared" si="4"/>
      </c>
      <c r="X30" s="94">
        <f t="shared" si="5"/>
      </c>
      <c r="Y30" s="94">
        <f t="shared" si="6"/>
      </c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95"/>
      <c r="AM30" s="61"/>
      <c r="AN30" s="61"/>
      <c r="AO30" s="68"/>
      <c r="AP30" s="61"/>
      <c r="AQ30" s="61"/>
      <c r="AR30" s="61"/>
      <c r="AS30" s="61"/>
      <c r="AT30" s="61"/>
      <c r="AU30" s="61"/>
      <c r="AV30" s="92"/>
      <c r="AW30" s="92"/>
      <c r="AX30" s="93">
        <f t="shared" si="7"/>
      </c>
      <c r="AY30" s="61"/>
      <c r="AZ30" s="61"/>
      <c r="BA30" s="61"/>
      <c r="BB30" s="61"/>
      <c r="BC30" s="61">
        <f t="shared" si="11"/>
      </c>
      <c r="BD30" s="94">
        <f t="shared" si="12"/>
      </c>
      <c r="BE30" s="94">
        <f t="shared" si="13"/>
      </c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95"/>
      <c r="BS30" s="61"/>
      <c r="BT30" s="61"/>
    </row>
    <row r="31" ht="14.25" customHeight="1" spans="1:72" x14ac:dyDescent="0.25">
      <c r="A31" s="61">
        <f t="shared" si="0"/>
      </c>
      <c r="B31" s="61">
        <f t="array" ref="B31">IFERROR(INDEX('02_DS_Nhan_Viec'!$B:$B,MATCH(ROW()-1,'02_DS_Nhan_Viec'!$M:$M,0)),"")</f>
      </c>
      <c r="C31" s="61">
        <f t="array" ref="C31">IF($B31="","",IFERROR(INDEX('01_UngVien_PhongVan'!$D:$D,MATCH($B31,'01_UngVien_PhongVan'!$B:$B,0)),"Không tìm thấy mã ứng viên"))</f>
      </c>
      <c r="D31" s="61">
        <f t="array" ref="D31">IF($B31="","",IFERROR(INDEX('01_UngVien_PhongVan'!$R:$R,MATCH($B31,'01_UngVien_PhongVan'!$B:$B,0)),""))</f>
      </c>
      <c r="E31" s="61">
        <f t="array" ref="E31">IF($B31="","",IFERROR(INDEX('02_DS_Nhan_Viec'!$H:$H,MATCH($B31,'02_DS_Nhan_Viec'!$B:$B,0)),""))</f>
      </c>
      <c r="F31" s="68">
        <f t="array" ref="F31">IF($B31="","",IFERROR(INDEX('02_DS_Nhan_Viec'!$E:$E,MATCH($B31,'02_DS_Nhan_Viec'!$B:$B,0)),""))</f>
      </c>
      <c r="G31" s="68">
        <f t="shared" si="1"/>
      </c>
      <c r="H31" s="68">
        <f t="shared" si="2"/>
      </c>
      <c r="I31" s="68"/>
      <c r="J31" s="61"/>
      <c r="K31" s="61"/>
      <c r="L31" s="61"/>
      <c r="M31" s="61"/>
      <c r="N31" s="61"/>
      <c r="O31" s="61"/>
      <c r="P31" s="92"/>
      <c r="Q31" s="92"/>
      <c r="R31" s="93">
        <f t="shared" si="3"/>
      </c>
      <c r="S31" s="61"/>
      <c r="T31" s="61"/>
      <c r="U31" s="61"/>
      <c r="V31" s="61"/>
      <c r="W31" s="61">
        <f t="shared" si="4"/>
      </c>
      <c r="X31" s="94">
        <f t="shared" si="5"/>
      </c>
      <c r="Y31" s="94">
        <f t="shared" si="6"/>
      </c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95"/>
      <c r="AM31" s="61"/>
      <c r="AN31" s="61"/>
      <c r="AO31" s="68"/>
      <c r="AP31" s="61"/>
      <c r="AQ31" s="61"/>
      <c r="AR31" s="61"/>
      <c r="AS31" s="61"/>
      <c r="AT31" s="61"/>
      <c r="AU31" s="61"/>
      <c r="AV31" s="92"/>
      <c r="AW31" s="92"/>
      <c r="AX31" s="93">
        <f t="shared" si="7"/>
      </c>
      <c r="AY31" s="61"/>
      <c r="AZ31" s="61"/>
      <c r="BA31" s="61"/>
      <c r="BB31" s="61"/>
      <c r="BC31" s="61">
        <f t="shared" si="11"/>
      </c>
      <c r="BD31" s="94">
        <f t="shared" si="12"/>
      </c>
      <c r="BE31" s="94">
        <f t="shared" si="13"/>
      </c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95"/>
      <c r="BS31" s="61"/>
      <c r="BT31" s="61"/>
    </row>
    <row r="32" ht="14.25" customHeight="1" spans="1:72" x14ac:dyDescent="0.25">
      <c r="A32" s="61">
        <f t="shared" si="0"/>
      </c>
      <c r="B32" s="61">
        <f t="array" ref="B32">IFERROR(INDEX('02_DS_Nhan_Viec'!$B:$B,MATCH(ROW()-1,'02_DS_Nhan_Viec'!$M:$M,0)),"")</f>
      </c>
      <c r="C32" s="61">
        <f t="array" ref="C32">IF($B32="","",IFERROR(INDEX('01_UngVien_PhongVan'!$D:$D,MATCH($B32,'01_UngVien_PhongVan'!$B:$B,0)),"Không tìm thấy mã ứng viên"))</f>
      </c>
      <c r="D32" s="61">
        <f t="array" ref="D32">IF($B32="","",IFERROR(INDEX('01_UngVien_PhongVan'!$R:$R,MATCH($B32,'01_UngVien_PhongVan'!$B:$B,0)),""))</f>
      </c>
      <c r="E32" s="61">
        <f t="array" ref="E32">IF($B32="","",IFERROR(INDEX('02_DS_Nhan_Viec'!$H:$H,MATCH($B32,'02_DS_Nhan_Viec'!$B:$B,0)),""))</f>
      </c>
      <c r="F32" s="68">
        <f t="array" ref="F32">IF($B32="","",IFERROR(INDEX('02_DS_Nhan_Viec'!$E:$E,MATCH($B32,'02_DS_Nhan_Viec'!$B:$B,0)),""))</f>
      </c>
      <c r="G32" s="68">
        <f t="shared" si="1"/>
      </c>
      <c r="H32" s="68">
        <f t="shared" si="2"/>
      </c>
      <c r="I32" s="68"/>
      <c r="J32" s="61"/>
      <c r="K32" s="61"/>
      <c r="L32" s="61"/>
      <c r="M32" s="61"/>
      <c r="N32" s="61"/>
      <c r="O32" s="61"/>
      <c r="P32" s="92"/>
      <c r="Q32" s="92"/>
      <c r="R32" s="93">
        <f t="shared" si="3"/>
      </c>
      <c r="S32" s="61"/>
      <c r="T32" s="61"/>
      <c r="U32" s="61"/>
      <c r="V32" s="61"/>
      <c r="W32" s="61">
        <f t="shared" si="4"/>
      </c>
      <c r="X32" s="94">
        <f t="shared" si="5"/>
      </c>
      <c r="Y32" s="94">
        <f t="shared" si="6"/>
      </c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95"/>
      <c r="AM32" s="61"/>
      <c r="AN32" s="61"/>
      <c r="AO32" s="68"/>
      <c r="AP32" s="61"/>
      <c r="AQ32" s="61"/>
      <c r="AR32" s="61"/>
      <c r="AS32" s="61"/>
      <c r="AT32" s="61"/>
      <c r="AU32" s="61"/>
      <c r="AV32" s="92"/>
      <c r="AW32" s="92"/>
      <c r="AX32" s="93">
        <f t="shared" si="7"/>
      </c>
      <c r="AY32" s="61"/>
      <c r="AZ32" s="61"/>
      <c r="BA32" s="61"/>
      <c r="BB32" s="61"/>
      <c r="BC32" s="61">
        <f t="shared" si="11"/>
      </c>
      <c r="BD32" s="94">
        <f t="shared" si="12"/>
      </c>
      <c r="BE32" s="94">
        <f t="shared" si="13"/>
      </c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95"/>
      <c r="BS32" s="61"/>
      <c r="BT32" s="61"/>
    </row>
    <row r="33" ht="14.25" customHeight="1" spans="1:72" x14ac:dyDescent="0.25">
      <c r="A33" s="61">
        <f t="shared" si="0"/>
      </c>
      <c r="B33" s="61">
        <f t="array" ref="B33">IFERROR(INDEX('02_DS_Nhan_Viec'!$B:$B,MATCH(ROW()-1,'02_DS_Nhan_Viec'!$M:$M,0)),"")</f>
      </c>
      <c r="C33" s="61">
        <f t="array" ref="C33">IF($B33="","",IFERROR(INDEX('01_UngVien_PhongVan'!$D:$D,MATCH($B33,'01_UngVien_PhongVan'!$B:$B,0)),"Không tìm thấy mã ứng viên"))</f>
      </c>
      <c r="D33" s="61">
        <f t="array" ref="D33">IF($B33="","",IFERROR(INDEX('01_UngVien_PhongVan'!$R:$R,MATCH($B33,'01_UngVien_PhongVan'!$B:$B,0)),""))</f>
      </c>
      <c r="E33" s="61">
        <f t="array" ref="E33">IF($B33="","",IFERROR(INDEX('02_DS_Nhan_Viec'!$H:$H,MATCH($B33,'02_DS_Nhan_Viec'!$B:$B,0)),""))</f>
      </c>
      <c r="F33" s="68">
        <f t="array" ref="F33">IF($B33="","",IFERROR(INDEX('02_DS_Nhan_Viec'!$E:$E,MATCH($B33,'02_DS_Nhan_Viec'!$B:$B,0)),""))</f>
      </c>
      <c r="G33" s="68">
        <f t="shared" si="1"/>
      </c>
      <c r="H33" s="68">
        <f t="shared" si="2"/>
      </c>
      <c r="I33" s="68"/>
      <c r="J33" s="61"/>
      <c r="K33" s="61"/>
      <c r="L33" s="61"/>
      <c r="M33" s="61"/>
      <c r="N33" s="61"/>
      <c r="O33" s="61"/>
      <c r="P33" s="92"/>
      <c r="Q33" s="92"/>
      <c r="R33" s="93">
        <f t="shared" si="3"/>
      </c>
      <c r="S33" s="61"/>
      <c r="T33" s="61"/>
      <c r="U33" s="61"/>
      <c r="V33" s="61"/>
      <c r="W33" s="61">
        <f t="shared" si="4"/>
      </c>
      <c r="X33" s="94">
        <f t="shared" si="5"/>
      </c>
      <c r="Y33" s="94">
        <f t="shared" si="6"/>
      </c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95"/>
      <c r="AM33" s="61"/>
      <c r="AN33" s="61"/>
      <c r="AO33" s="68"/>
      <c r="AP33" s="61"/>
      <c r="AQ33" s="61"/>
      <c r="AR33" s="61"/>
      <c r="AS33" s="61"/>
      <c r="AT33" s="61"/>
      <c r="AU33" s="61"/>
      <c r="AV33" s="92"/>
      <c r="AW33" s="92"/>
      <c r="AX33" s="93">
        <f t="shared" si="7"/>
      </c>
      <c r="AY33" s="61"/>
      <c r="AZ33" s="61"/>
      <c r="BA33" s="61"/>
      <c r="BB33" s="61"/>
      <c r="BC33" s="61">
        <f t="shared" si="11"/>
      </c>
      <c r="BD33" s="94">
        <f t="shared" si="12"/>
      </c>
      <c r="BE33" s="94">
        <f t="shared" si="13"/>
      </c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95"/>
      <c r="BS33" s="61"/>
      <c r="BT33" s="61"/>
    </row>
    <row r="34" ht="14.25" customHeight="1" spans="1:72" x14ac:dyDescent="0.25">
      <c r="A34" s="61">
        <f t="shared" si="0"/>
      </c>
      <c r="B34" s="61">
        <f t="array" ref="B34">IFERROR(INDEX('02_DS_Nhan_Viec'!$B:$B,MATCH(ROW()-1,'02_DS_Nhan_Viec'!$M:$M,0)),"")</f>
      </c>
      <c r="C34" s="61">
        <f t="array" ref="C34">IF($B34="","",IFERROR(INDEX('01_UngVien_PhongVan'!$D:$D,MATCH($B34,'01_UngVien_PhongVan'!$B:$B,0)),"Không tìm thấy mã ứng viên"))</f>
      </c>
      <c r="D34" s="61">
        <f t="array" ref="D34">IF($B34="","",IFERROR(INDEX('01_UngVien_PhongVan'!$R:$R,MATCH($B34,'01_UngVien_PhongVan'!$B:$B,0)),""))</f>
      </c>
      <c r="E34" s="61">
        <f t="array" ref="E34">IF($B34="","",IFERROR(INDEX('02_DS_Nhan_Viec'!$H:$H,MATCH($B34,'02_DS_Nhan_Viec'!$B:$B,0)),""))</f>
      </c>
      <c r="F34" s="68">
        <f t="array" ref="F34">IF($B34="","",IFERROR(INDEX('02_DS_Nhan_Viec'!$E:$E,MATCH($B34,'02_DS_Nhan_Viec'!$B:$B,0)),""))</f>
      </c>
      <c r="G34" s="68">
        <f t="shared" si="1"/>
      </c>
      <c r="H34" s="68">
        <f t="shared" si="2"/>
      </c>
      <c r="I34" s="68"/>
      <c r="J34" s="61"/>
      <c r="K34" s="61"/>
      <c r="L34" s="61"/>
      <c r="M34" s="61"/>
      <c r="N34" s="61"/>
      <c r="O34" s="61"/>
      <c r="P34" s="92"/>
      <c r="Q34" s="92"/>
      <c r="R34" s="93">
        <f t="shared" si="3"/>
      </c>
      <c r="S34" s="61"/>
      <c r="T34" s="61"/>
      <c r="U34" s="61"/>
      <c r="V34" s="61"/>
      <c r="W34" s="61">
        <f t="shared" si="4"/>
      </c>
      <c r="X34" s="94">
        <f t="shared" si="5"/>
      </c>
      <c r="Y34" s="94">
        <f t="shared" si="6"/>
      </c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95"/>
      <c r="AM34" s="61"/>
      <c r="AN34" s="61"/>
      <c r="AO34" s="68"/>
      <c r="AP34" s="61"/>
      <c r="AQ34" s="61"/>
      <c r="AR34" s="61"/>
      <c r="AS34" s="61"/>
      <c r="AT34" s="61"/>
      <c r="AU34" s="61"/>
      <c r="AV34" s="92"/>
      <c r="AW34" s="92"/>
      <c r="AX34" s="93">
        <f t="shared" si="7"/>
      </c>
      <c r="AY34" s="61"/>
      <c r="AZ34" s="61"/>
      <c r="BA34" s="61"/>
      <c r="BB34" s="61"/>
      <c r="BC34" s="61">
        <f t="shared" si="11"/>
      </c>
      <c r="BD34" s="94">
        <f t="shared" si="12"/>
      </c>
      <c r="BE34" s="94">
        <f t="shared" si="13"/>
      </c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95"/>
      <c r="BS34" s="61"/>
      <c r="BT34" s="61"/>
    </row>
    <row r="35" ht="14.25" customHeight="1" spans="1:72" x14ac:dyDescent="0.25">
      <c r="A35" s="61">
        <f t="shared" si="0"/>
      </c>
      <c r="B35" s="61">
        <f t="array" ref="B35">IFERROR(INDEX('02_DS_Nhan_Viec'!$B:$B,MATCH(ROW()-1,'02_DS_Nhan_Viec'!$M:$M,0)),"")</f>
      </c>
      <c r="C35" s="61">
        <f t="array" ref="C35">IF($B35="","",IFERROR(INDEX('01_UngVien_PhongVan'!$D:$D,MATCH($B35,'01_UngVien_PhongVan'!$B:$B,0)),"Không tìm thấy mã ứng viên"))</f>
      </c>
      <c r="D35" s="61">
        <f t="array" ref="D35">IF($B35="","",IFERROR(INDEX('01_UngVien_PhongVan'!$R:$R,MATCH($B35,'01_UngVien_PhongVan'!$B:$B,0)),""))</f>
      </c>
      <c r="E35" s="61">
        <f t="array" ref="E35">IF($B35="","",IFERROR(INDEX('02_DS_Nhan_Viec'!$H:$H,MATCH($B35,'02_DS_Nhan_Viec'!$B:$B,0)),""))</f>
      </c>
      <c r="F35" s="68">
        <f t="array" ref="F35">IF($B35="","",IFERROR(INDEX('02_DS_Nhan_Viec'!$E:$E,MATCH($B35,'02_DS_Nhan_Viec'!$B:$B,0)),""))</f>
      </c>
      <c r="G35" s="68">
        <f t="shared" si="1"/>
      </c>
      <c r="H35" s="68">
        <f t="shared" si="2"/>
      </c>
      <c r="I35" s="68"/>
      <c r="J35" s="61"/>
      <c r="K35" s="61"/>
      <c r="L35" s="61"/>
      <c r="M35" s="61"/>
      <c r="N35" s="61"/>
      <c r="O35" s="61"/>
      <c r="P35" s="92"/>
      <c r="Q35" s="92"/>
      <c r="R35" s="93">
        <f t="shared" si="3"/>
      </c>
      <c r="S35" s="61"/>
      <c r="T35" s="61"/>
      <c r="U35" s="61"/>
      <c r="V35" s="61"/>
      <c r="W35" s="61">
        <f t="shared" si="4"/>
      </c>
      <c r="X35" s="94">
        <f t="shared" si="5"/>
      </c>
      <c r="Y35" s="94">
        <f t="shared" si="6"/>
      </c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95"/>
      <c r="AM35" s="61"/>
      <c r="AN35" s="61"/>
      <c r="AO35" s="68"/>
      <c r="AP35" s="61"/>
      <c r="AQ35" s="61"/>
      <c r="AR35" s="61"/>
      <c r="AS35" s="61"/>
      <c r="AT35" s="61"/>
      <c r="AU35" s="61"/>
      <c r="AV35" s="92"/>
      <c r="AW35" s="92"/>
      <c r="AX35" s="93">
        <f t="shared" si="7"/>
      </c>
      <c r="AY35" s="61"/>
      <c r="AZ35" s="61"/>
      <c r="BA35" s="61"/>
      <c r="BB35" s="61"/>
      <c r="BC35" s="61">
        <f t="shared" si="11"/>
      </c>
      <c r="BD35" s="94">
        <f t="shared" si="12"/>
      </c>
      <c r="BE35" s="94">
        <f t="shared" si="13"/>
      </c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95"/>
      <c r="BS35" s="61"/>
      <c r="BT35" s="61"/>
    </row>
    <row r="36" ht="14.25" customHeight="1" spans="1:72" x14ac:dyDescent="0.25">
      <c r="A36" s="61">
        <f t="shared" si="0"/>
      </c>
      <c r="B36" s="61">
        <f t="array" ref="B36">IFERROR(INDEX('02_DS_Nhan_Viec'!$B:$B,MATCH(ROW()-1,'02_DS_Nhan_Viec'!$M:$M,0)),"")</f>
      </c>
      <c r="C36" s="61">
        <f t="array" ref="C36">IF($B36="","",IFERROR(INDEX('01_UngVien_PhongVan'!$D:$D,MATCH($B36,'01_UngVien_PhongVan'!$B:$B,0)),"Không tìm thấy mã ứng viên"))</f>
      </c>
      <c r="D36" s="61">
        <f t="array" ref="D36">IF($B36="","",IFERROR(INDEX('01_UngVien_PhongVan'!$R:$R,MATCH($B36,'01_UngVien_PhongVan'!$B:$B,0)),""))</f>
      </c>
      <c r="E36" s="61">
        <f t="array" ref="E36">IF($B36="","",IFERROR(INDEX('02_DS_Nhan_Viec'!$H:$H,MATCH($B36,'02_DS_Nhan_Viec'!$B:$B,0)),""))</f>
      </c>
      <c r="F36" s="68">
        <f t="array" ref="F36">IF($B36="","",IFERROR(INDEX('02_DS_Nhan_Viec'!$E:$E,MATCH($B36,'02_DS_Nhan_Viec'!$B:$B,0)),""))</f>
      </c>
      <c r="G36" s="68">
        <f t="shared" si="1"/>
      </c>
      <c r="H36" s="68">
        <f t="shared" si="2"/>
      </c>
      <c r="I36" s="68"/>
      <c r="J36" s="61"/>
      <c r="K36" s="61"/>
      <c r="L36" s="61"/>
      <c r="M36" s="61"/>
      <c r="N36" s="61"/>
      <c r="O36" s="61"/>
      <c r="P36" s="92"/>
      <c r="Q36" s="92"/>
      <c r="R36" s="93">
        <f t="shared" si="3"/>
      </c>
      <c r="S36" s="61"/>
      <c r="T36" s="61"/>
      <c r="U36" s="61"/>
      <c r="V36" s="61"/>
      <c r="W36" s="61">
        <f t="shared" si="4"/>
      </c>
      <c r="X36" s="94">
        <f t="shared" si="5"/>
      </c>
      <c r="Y36" s="94">
        <f t="shared" si="6"/>
      </c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95"/>
      <c r="AM36" s="61"/>
      <c r="AN36" s="61"/>
      <c r="AO36" s="68"/>
      <c r="AP36" s="61"/>
      <c r="AQ36" s="61"/>
      <c r="AR36" s="61"/>
      <c r="AS36" s="61"/>
      <c r="AT36" s="61"/>
      <c r="AU36" s="61"/>
      <c r="AV36" s="92"/>
      <c r="AW36" s="92"/>
      <c r="AX36" s="93">
        <f t="shared" si="7"/>
      </c>
      <c r="AY36" s="61"/>
      <c r="AZ36" s="61"/>
      <c r="BA36" s="61"/>
      <c r="BB36" s="61"/>
      <c r="BC36" s="61">
        <f t="shared" si="11"/>
      </c>
      <c r="BD36" s="94">
        <f t="shared" si="12"/>
      </c>
      <c r="BE36" s="94">
        <f t="shared" si="13"/>
      </c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95"/>
      <c r="BS36" s="61"/>
      <c r="BT36" s="61"/>
    </row>
    <row r="37" ht="14.25" customHeight="1" spans="1:72" x14ac:dyDescent="0.25">
      <c r="A37" s="61">
        <f t="shared" si="0"/>
      </c>
      <c r="B37" s="61">
        <f t="array" ref="B37">IFERROR(INDEX('02_DS_Nhan_Viec'!$B:$B,MATCH(ROW()-1,'02_DS_Nhan_Viec'!$M:$M,0)),"")</f>
      </c>
      <c r="C37" s="61">
        <f t="array" ref="C37">IF($B37="","",IFERROR(INDEX('01_UngVien_PhongVan'!$D:$D,MATCH($B37,'01_UngVien_PhongVan'!$B:$B,0)),"Không tìm thấy mã ứng viên"))</f>
      </c>
      <c r="D37" s="61">
        <f t="array" ref="D37">IF($B37="","",IFERROR(INDEX('01_UngVien_PhongVan'!$R:$R,MATCH($B37,'01_UngVien_PhongVan'!$B:$B,0)),""))</f>
      </c>
      <c r="E37" s="61">
        <f t="array" ref="E37">IF($B37="","",IFERROR(INDEX('02_DS_Nhan_Viec'!$H:$H,MATCH($B37,'02_DS_Nhan_Viec'!$B:$B,0)),""))</f>
      </c>
      <c r="F37" s="68">
        <f t="array" ref="F37">IF($B37="","",IFERROR(INDEX('02_DS_Nhan_Viec'!$E:$E,MATCH($B37,'02_DS_Nhan_Viec'!$B:$B,0)),""))</f>
      </c>
      <c r="G37" s="68">
        <f t="shared" si="1"/>
      </c>
      <c r="H37" s="68">
        <f t="shared" si="2"/>
      </c>
      <c r="I37" s="68"/>
      <c r="J37" s="61"/>
      <c r="K37" s="61"/>
      <c r="L37" s="61"/>
      <c r="M37" s="61"/>
      <c r="N37" s="61"/>
      <c r="O37" s="61"/>
      <c r="P37" s="92"/>
      <c r="Q37" s="92"/>
      <c r="R37" s="93">
        <f t="shared" si="3"/>
      </c>
      <c r="S37" s="61"/>
      <c r="T37" s="61"/>
      <c r="U37" s="61"/>
      <c r="V37" s="61"/>
      <c r="W37" s="61">
        <f t="shared" si="4"/>
      </c>
      <c r="X37" s="94">
        <f t="shared" si="5"/>
      </c>
      <c r="Y37" s="94">
        <f t="shared" si="6"/>
      </c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95"/>
      <c r="AM37" s="61"/>
      <c r="AN37" s="61"/>
      <c r="AO37" s="68"/>
      <c r="AP37" s="61"/>
      <c r="AQ37" s="61"/>
      <c r="AR37" s="61"/>
      <c r="AS37" s="61"/>
      <c r="AT37" s="61"/>
      <c r="AU37" s="61"/>
      <c r="AV37" s="92"/>
      <c r="AW37" s="92"/>
      <c r="AX37" s="93">
        <f t="shared" si="7"/>
      </c>
      <c r="AY37" s="61"/>
      <c r="AZ37" s="61"/>
      <c r="BA37" s="61"/>
      <c r="BB37" s="61"/>
      <c r="BC37" s="61">
        <f t="shared" si="11"/>
      </c>
      <c r="BD37" s="94">
        <f t="shared" si="12"/>
      </c>
      <c r="BE37" s="94">
        <f t="shared" si="13"/>
      </c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95"/>
      <c r="BS37" s="61"/>
      <c r="BT37" s="61"/>
    </row>
    <row r="38" ht="14.25" customHeight="1" spans="1:72" x14ac:dyDescent="0.25">
      <c r="A38" s="61">
        <f t="shared" si="0"/>
      </c>
      <c r="B38" s="61">
        <f t="array" ref="B38">IFERROR(INDEX('02_DS_Nhan_Viec'!$B:$B,MATCH(ROW()-1,'02_DS_Nhan_Viec'!$M:$M,0)),"")</f>
      </c>
      <c r="C38" s="61">
        <f t="array" ref="C38">IF($B38="","",IFERROR(INDEX('01_UngVien_PhongVan'!$D:$D,MATCH($B38,'01_UngVien_PhongVan'!$B:$B,0)),"Không tìm thấy mã ứng viên"))</f>
      </c>
      <c r="D38" s="61">
        <f t="array" ref="D38">IF($B38="","",IFERROR(INDEX('01_UngVien_PhongVan'!$R:$R,MATCH($B38,'01_UngVien_PhongVan'!$B:$B,0)),""))</f>
      </c>
      <c r="E38" s="61">
        <f t="array" ref="E38">IF($B38="","",IFERROR(INDEX('02_DS_Nhan_Viec'!$H:$H,MATCH($B38,'02_DS_Nhan_Viec'!$B:$B,0)),""))</f>
      </c>
      <c r="F38" s="68">
        <f t="array" ref="F38">IF($B38="","",IFERROR(INDEX('02_DS_Nhan_Viec'!$E:$E,MATCH($B38,'02_DS_Nhan_Viec'!$B:$B,0)),""))</f>
      </c>
      <c r="G38" s="68">
        <f t="shared" si="1"/>
      </c>
      <c r="H38" s="68">
        <f t="shared" si="2"/>
      </c>
      <c r="I38" s="68"/>
      <c r="J38" s="61"/>
      <c r="K38" s="61"/>
      <c r="L38" s="61"/>
      <c r="M38" s="61"/>
      <c r="N38" s="61"/>
      <c r="O38" s="61"/>
      <c r="P38" s="92"/>
      <c r="Q38" s="92"/>
      <c r="R38" s="93">
        <f t="shared" si="3"/>
      </c>
      <c r="S38" s="61"/>
      <c r="T38" s="61"/>
      <c r="U38" s="61"/>
      <c r="V38" s="61"/>
      <c r="W38" s="61">
        <f t="shared" si="4"/>
      </c>
      <c r="X38" s="94">
        <f t="shared" si="5"/>
      </c>
      <c r="Y38" s="94">
        <f t="shared" si="6"/>
      </c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95"/>
      <c r="AM38" s="61"/>
      <c r="AN38" s="61"/>
      <c r="AO38" s="68"/>
      <c r="AP38" s="61"/>
      <c r="AQ38" s="61"/>
      <c r="AR38" s="61"/>
      <c r="AS38" s="61"/>
      <c r="AT38" s="61"/>
      <c r="AU38" s="61"/>
      <c r="AV38" s="92"/>
      <c r="AW38" s="92"/>
      <c r="AX38" s="93">
        <f t="shared" si="7"/>
      </c>
      <c r="AY38" s="61"/>
      <c r="AZ38" s="61"/>
      <c r="BA38" s="61"/>
      <c r="BB38" s="61"/>
      <c r="BC38" s="61">
        <f t="shared" si="11"/>
      </c>
      <c r="BD38" s="94">
        <f t="shared" si="12"/>
      </c>
      <c r="BE38" s="94">
        <f t="shared" si="13"/>
      </c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95"/>
      <c r="BS38" s="61"/>
      <c r="BT38" s="61"/>
    </row>
    <row r="39" ht="14.25" customHeight="1" spans="1:72" x14ac:dyDescent="0.25">
      <c r="A39" s="61">
        <f t="shared" si="0"/>
      </c>
      <c r="B39" s="61">
        <f t="array" ref="B39">IFERROR(INDEX('02_DS_Nhan_Viec'!$B:$B,MATCH(ROW()-1,'02_DS_Nhan_Viec'!$M:$M,0)),"")</f>
      </c>
      <c r="C39" s="61">
        <f t="array" ref="C39">IF($B39="","",IFERROR(INDEX('01_UngVien_PhongVan'!$D:$D,MATCH($B39,'01_UngVien_PhongVan'!$B:$B,0)),"Không tìm thấy mã ứng viên"))</f>
      </c>
      <c r="D39" s="61">
        <f t="array" ref="D39">IF($B39="","",IFERROR(INDEX('01_UngVien_PhongVan'!$R:$R,MATCH($B39,'01_UngVien_PhongVan'!$B:$B,0)),""))</f>
      </c>
      <c r="E39" s="61">
        <f t="array" ref="E39">IF($B39="","",IFERROR(INDEX('02_DS_Nhan_Viec'!$H:$H,MATCH($B39,'02_DS_Nhan_Viec'!$B:$B,0)),""))</f>
      </c>
      <c r="F39" s="68">
        <f t="array" ref="F39">IF($B39="","",IFERROR(INDEX('02_DS_Nhan_Viec'!$E:$E,MATCH($B39,'02_DS_Nhan_Viec'!$B:$B,0)),""))</f>
      </c>
      <c r="G39" s="68">
        <f t="shared" si="1"/>
      </c>
      <c r="H39" s="68">
        <f t="shared" si="2"/>
      </c>
      <c r="I39" s="68"/>
      <c r="J39" s="61"/>
      <c r="K39" s="61"/>
      <c r="L39" s="61"/>
      <c r="M39" s="61"/>
      <c r="N39" s="61"/>
      <c r="O39" s="61"/>
      <c r="P39" s="92"/>
      <c r="Q39" s="92"/>
      <c r="R39" s="93">
        <f t="shared" si="3"/>
      </c>
      <c r="S39" s="61"/>
      <c r="T39" s="61"/>
      <c r="U39" s="61"/>
      <c r="V39" s="61"/>
      <c r="W39" s="61">
        <f t="shared" si="4"/>
      </c>
      <c r="X39" s="94">
        <f t="shared" si="5"/>
      </c>
      <c r="Y39" s="94">
        <f t="shared" si="6"/>
      </c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95"/>
      <c r="AM39" s="61"/>
      <c r="AN39" s="61"/>
      <c r="AO39" s="68"/>
      <c r="AP39" s="61"/>
      <c r="AQ39" s="61"/>
      <c r="AR39" s="61"/>
      <c r="AS39" s="61"/>
      <c r="AT39" s="61"/>
      <c r="AU39" s="61"/>
      <c r="AV39" s="92"/>
      <c r="AW39" s="92"/>
      <c r="AX39" s="93">
        <f t="shared" si="7"/>
      </c>
      <c r="AY39" s="61"/>
      <c r="AZ39" s="61"/>
      <c r="BA39" s="61"/>
      <c r="BB39" s="61"/>
      <c r="BC39" s="61">
        <f t="shared" si="11"/>
      </c>
      <c r="BD39" s="94">
        <f t="shared" si="12"/>
      </c>
      <c r="BE39" s="94">
        <f t="shared" si="13"/>
      </c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95"/>
      <c r="BS39" s="61"/>
      <c r="BT39" s="61"/>
    </row>
    <row r="40" ht="14.25" customHeight="1" spans="1:72" x14ac:dyDescent="0.25">
      <c r="A40" s="61">
        <f t="shared" si="0"/>
      </c>
      <c r="B40" s="61">
        <f t="array" ref="B40">IFERROR(INDEX('02_DS_Nhan_Viec'!$B:$B,MATCH(ROW()-1,'02_DS_Nhan_Viec'!$M:$M,0)),"")</f>
      </c>
      <c r="C40" s="61">
        <f t="array" ref="C40">IF($B40="","",IFERROR(INDEX('01_UngVien_PhongVan'!$D:$D,MATCH($B40,'01_UngVien_PhongVan'!$B:$B,0)),"Không tìm thấy mã ứng viên"))</f>
      </c>
      <c r="D40" s="61">
        <f t="array" ref="D40">IF($B40="","",IFERROR(INDEX('01_UngVien_PhongVan'!$R:$R,MATCH($B40,'01_UngVien_PhongVan'!$B:$B,0)),""))</f>
      </c>
      <c r="E40" s="61">
        <f t="array" ref="E40">IF($B40="","",IFERROR(INDEX('02_DS_Nhan_Viec'!$H:$H,MATCH($B40,'02_DS_Nhan_Viec'!$B:$B,0)),""))</f>
      </c>
      <c r="F40" s="68">
        <f t="array" ref="F40">IF($B40="","",IFERROR(INDEX('02_DS_Nhan_Viec'!$E:$E,MATCH($B40,'02_DS_Nhan_Viec'!$B:$B,0)),""))</f>
      </c>
      <c r="G40" s="68">
        <f t="shared" si="1"/>
      </c>
      <c r="H40" s="68">
        <f t="shared" si="2"/>
      </c>
      <c r="I40" s="68"/>
      <c r="J40" s="61"/>
      <c r="K40" s="61"/>
      <c r="L40" s="61"/>
      <c r="M40" s="61"/>
      <c r="N40" s="61"/>
      <c r="O40" s="61"/>
      <c r="P40" s="92"/>
      <c r="Q40" s="92"/>
      <c r="R40" s="93">
        <f t="shared" si="3"/>
      </c>
      <c r="S40" s="61"/>
      <c r="T40" s="61"/>
      <c r="U40" s="61"/>
      <c r="V40" s="61"/>
      <c r="W40" s="61">
        <f t="shared" si="4"/>
      </c>
      <c r="X40" s="94">
        <f t="shared" si="5"/>
      </c>
      <c r="Y40" s="94">
        <f t="shared" si="6"/>
      </c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95"/>
      <c r="AM40" s="61"/>
      <c r="AN40" s="61"/>
      <c r="AO40" s="68"/>
      <c r="AP40" s="61"/>
      <c r="AQ40" s="61"/>
      <c r="AR40" s="61"/>
      <c r="AS40" s="61"/>
      <c r="AT40" s="61"/>
      <c r="AU40" s="61"/>
      <c r="AV40" s="92"/>
      <c r="AW40" s="92"/>
      <c r="AX40" s="93">
        <f t="shared" si="7"/>
      </c>
      <c r="AY40" s="61"/>
      <c r="AZ40" s="61"/>
      <c r="BA40" s="61"/>
      <c r="BB40" s="61"/>
      <c r="BC40" s="61">
        <f t="shared" si="11"/>
      </c>
      <c r="BD40" s="94">
        <f t="shared" si="12"/>
      </c>
      <c r="BE40" s="94">
        <f t="shared" si="13"/>
      </c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95"/>
      <c r="BS40" s="61"/>
      <c r="BT40" s="61"/>
    </row>
    <row r="41" ht="14.25" customHeight="1" spans="1:72" x14ac:dyDescent="0.25">
      <c r="A41" s="61">
        <f t="shared" si="0"/>
      </c>
      <c r="B41" s="61">
        <f t="array" ref="B41">IFERROR(INDEX('02_DS_Nhan_Viec'!$B:$B,MATCH(ROW()-1,'02_DS_Nhan_Viec'!$M:$M,0)),"")</f>
      </c>
      <c r="C41" s="61">
        <f t="array" ref="C41">IF($B41="","",IFERROR(INDEX('01_UngVien_PhongVan'!$D:$D,MATCH($B41,'01_UngVien_PhongVan'!$B:$B,0)),"Không tìm thấy mã ứng viên"))</f>
      </c>
      <c r="D41" s="61">
        <f t="array" ref="D41">IF($B41="","",IFERROR(INDEX('01_UngVien_PhongVan'!$R:$R,MATCH($B41,'01_UngVien_PhongVan'!$B:$B,0)),""))</f>
      </c>
      <c r="E41" s="61">
        <f t="array" ref="E41">IF($B41="","",IFERROR(INDEX('02_DS_Nhan_Viec'!$H:$H,MATCH($B41,'02_DS_Nhan_Viec'!$B:$B,0)),""))</f>
      </c>
      <c r="F41" s="68">
        <f t="array" ref="F41">IF($B41="","",IFERROR(INDEX('02_DS_Nhan_Viec'!$E:$E,MATCH($B41,'02_DS_Nhan_Viec'!$B:$B,0)),""))</f>
      </c>
      <c r="G41" s="68">
        <f t="shared" si="1"/>
      </c>
      <c r="H41" s="68">
        <f t="shared" si="2"/>
      </c>
      <c r="I41" s="68"/>
      <c r="J41" s="61"/>
      <c r="K41" s="61"/>
      <c r="L41" s="61"/>
      <c r="M41" s="61"/>
      <c r="N41" s="61"/>
      <c r="O41" s="61"/>
      <c r="P41" s="92"/>
      <c r="Q41" s="92"/>
      <c r="R41" s="93">
        <f t="shared" si="3"/>
      </c>
      <c r="S41" s="61"/>
      <c r="T41" s="61"/>
      <c r="U41" s="61"/>
      <c r="V41" s="61"/>
      <c r="W41" s="61">
        <f t="shared" si="4"/>
      </c>
      <c r="X41" s="94">
        <f t="shared" si="5"/>
      </c>
      <c r="Y41" s="94">
        <f t="shared" si="6"/>
      </c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95"/>
      <c r="AM41" s="61"/>
      <c r="AN41" s="61"/>
      <c r="AO41" s="68"/>
      <c r="AP41" s="61"/>
      <c r="AQ41" s="61"/>
      <c r="AR41" s="61"/>
      <c r="AS41" s="61"/>
      <c r="AT41" s="61"/>
      <c r="AU41" s="61"/>
      <c r="AV41" s="92"/>
      <c r="AW41" s="92"/>
      <c r="AX41" s="93">
        <f t="shared" si="7"/>
      </c>
      <c r="AY41" s="61"/>
      <c r="AZ41" s="61"/>
      <c r="BA41" s="61"/>
      <c r="BB41" s="61"/>
      <c r="BC41" s="61">
        <f t="shared" si="11"/>
      </c>
      <c r="BD41" s="94">
        <f t="shared" si="12"/>
      </c>
      <c r="BE41" s="94">
        <f t="shared" si="13"/>
      </c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95"/>
      <c r="BS41" s="61"/>
      <c r="BT41" s="61"/>
    </row>
    <row r="42" ht="14.25" customHeight="1" spans="1:72" x14ac:dyDescent="0.25">
      <c r="A42" s="61">
        <f t="shared" si="0"/>
      </c>
      <c r="B42" s="61">
        <f t="array" ref="B42">IFERROR(INDEX('02_DS_Nhan_Viec'!$B:$B,MATCH(ROW()-1,'02_DS_Nhan_Viec'!$M:$M,0)),"")</f>
      </c>
      <c r="C42" s="61">
        <f t="array" ref="C42">IF($B42="","",IFERROR(INDEX('01_UngVien_PhongVan'!$D:$D,MATCH($B42,'01_UngVien_PhongVan'!$B:$B,0)),"Không tìm thấy mã ứng viên"))</f>
      </c>
      <c r="D42" s="61">
        <f t="array" ref="D42">IF($B42="","",IFERROR(INDEX('01_UngVien_PhongVan'!$R:$R,MATCH($B42,'01_UngVien_PhongVan'!$B:$B,0)),""))</f>
      </c>
      <c r="E42" s="61">
        <f t="array" ref="E42">IF($B42="","",IFERROR(INDEX('02_DS_Nhan_Viec'!$H:$H,MATCH($B42,'02_DS_Nhan_Viec'!$B:$B,0)),""))</f>
      </c>
      <c r="F42" s="68">
        <f t="array" ref="F42">IF($B42="","",IFERROR(INDEX('02_DS_Nhan_Viec'!$E:$E,MATCH($B42,'02_DS_Nhan_Viec'!$B:$B,0)),""))</f>
      </c>
      <c r="G42" s="68">
        <f t="shared" si="1"/>
      </c>
      <c r="H42" s="68">
        <f t="shared" si="2"/>
      </c>
      <c r="I42" s="68"/>
      <c r="J42" s="61"/>
      <c r="K42" s="61"/>
      <c r="L42" s="61"/>
      <c r="M42" s="61"/>
      <c r="N42" s="61"/>
      <c r="O42" s="61"/>
      <c r="P42" s="92"/>
      <c r="Q42" s="92"/>
      <c r="R42" s="93">
        <f t="shared" si="3"/>
      </c>
      <c r="S42" s="61"/>
      <c r="T42" s="61"/>
      <c r="U42" s="61"/>
      <c r="V42" s="61"/>
      <c r="W42" s="61">
        <f t="shared" si="4"/>
      </c>
      <c r="X42" s="94">
        <f t="shared" si="5"/>
      </c>
      <c r="Y42" s="94">
        <f t="shared" si="6"/>
      </c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95"/>
      <c r="AM42" s="61"/>
      <c r="AN42" s="61"/>
      <c r="AO42" s="68"/>
      <c r="AP42" s="61"/>
      <c r="AQ42" s="61"/>
      <c r="AR42" s="61"/>
      <c r="AS42" s="61"/>
      <c r="AT42" s="61"/>
      <c r="AU42" s="61"/>
      <c r="AV42" s="92"/>
      <c r="AW42" s="92"/>
      <c r="AX42" s="93">
        <f t="shared" si="7"/>
      </c>
      <c r="AY42" s="61"/>
      <c r="AZ42" s="61"/>
      <c r="BA42" s="61"/>
      <c r="BB42" s="61"/>
      <c r="BC42" s="61">
        <f t="shared" si="11"/>
      </c>
      <c r="BD42" s="94">
        <f t="shared" si="12"/>
      </c>
      <c r="BE42" s="94">
        <f t="shared" si="13"/>
      </c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95"/>
      <c r="BS42" s="61"/>
      <c r="BT42" s="61"/>
    </row>
    <row r="43" ht="14.25" customHeight="1" spans="1:72" x14ac:dyDescent="0.25">
      <c r="A43" s="61">
        <f t="shared" si="0"/>
      </c>
      <c r="B43" s="61">
        <f t="array" ref="B43">IFERROR(INDEX('02_DS_Nhan_Viec'!$B:$B,MATCH(ROW()-1,'02_DS_Nhan_Viec'!$M:$M,0)),"")</f>
      </c>
      <c r="C43" s="61">
        <f t="array" ref="C43">IF($B43="","",IFERROR(INDEX('01_UngVien_PhongVan'!$D:$D,MATCH($B43,'01_UngVien_PhongVan'!$B:$B,0)),"Không tìm thấy mã ứng viên"))</f>
      </c>
      <c r="D43" s="61">
        <f t="array" ref="D43">IF($B43="","",IFERROR(INDEX('01_UngVien_PhongVan'!$R:$R,MATCH($B43,'01_UngVien_PhongVan'!$B:$B,0)),""))</f>
      </c>
      <c r="E43" s="61">
        <f t="array" ref="E43">IF($B43="","",IFERROR(INDEX('02_DS_Nhan_Viec'!$H:$H,MATCH($B43,'02_DS_Nhan_Viec'!$B:$B,0)),""))</f>
      </c>
      <c r="F43" s="68">
        <f t="array" ref="F43">IF($B43="","",IFERROR(INDEX('02_DS_Nhan_Viec'!$E:$E,MATCH($B43,'02_DS_Nhan_Viec'!$B:$B,0)),""))</f>
      </c>
      <c r="G43" s="68">
        <f t="shared" si="1"/>
      </c>
      <c r="H43" s="68">
        <f t="shared" si="2"/>
      </c>
      <c r="I43" s="68"/>
      <c r="J43" s="61"/>
      <c r="K43" s="61"/>
      <c r="L43" s="61"/>
      <c r="M43" s="61"/>
      <c r="N43" s="61"/>
      <c r="O43" s="61"/>
      <c r="P43" s="92"/>
      <c r="Q43" s="92"/>
      <c r="R43" s="93">
        <f t="shared" si="3"/>
      </c>
      <c r="S43" s="61"/>
      <c r="T43" s="61"/>
      <c r="U43" s="61"/>
      <c r="V43" s="61"/>
      <c r="W43" s="61">
        <f t="shared" si="4"/>
      </c>
      <c r="X43" s="94">
        <f t="shared" si="5"/>
      </c>
      <c r="Y43" s="94">
        <f t="shared" si="6"/>
      </c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95"/>
      <c r="AM43" s="61"/>
      <c r="AN43" s="61"/>
      <c r="AO43" s="68"/>
      <c r="AP43" s="61"/>
      <c r="AQ43" s="61"/>
      <c r="AR43" s="61"/>
      <c r="AS43" s="61"/>
      <c r="AT43" s="61"/>
      <c r="AU43" s="61"/>
      <c r="AV43" s="92"/>
      <c r="AW43" s="92"/>
      <c r="AX43" s="93">
        <f t="shared" si="7"/>
      </c>
      <c r="AY43" s="61"/>
      <c r="AZ43" s="61"/>
      <c r="BA43" s="61"/>
      <c r="BB43" s="61"/>
      <c r="BC43" s="61">
        <f t="shared" si="11"/>
      </c>
      <c r="BD43" s="94">
        <f t="shared" si="12"/>
      </c>
      <c r="BE43" s="94">
        <f t="shared" si="13"/>
      </c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95"/>
      <c r="BS43" s="61"/>
      <c r="BT43" s="61"/>
    </row>
    <row r="44" ht="14.25" customHeight="1" spans="1:72" x14ac:dyDescent="0.25">
      <c r="A44" s="61">
        <f t="shared" si="0"/>
      </c>
      <c r="B44" s="61">
        <f t="array" ref="B44">IFERROR(INDEX('02_DS_Nhan_Viec'!$B:$B,MATCH(ROW()-1,'02_DS_Nhan_Viec'!$M:$M,0)),"")</f>
      </c>
      <c r="C44" s="61">
        <f t="array" ref="C44">IF($B44="","",IFERROR(INDEX('01_UngVien_PhongVan'!$D:$D,MATCH($B44,'01_UngVien_PhongVan'!$B:$B,0)),"Không tìm thấy mã ứng viên"))</f>
      </c>
      <c r="D44" s="61">
        <f t="array" ref="D44">IF($B44="","",IFERROR(INDEX('01_UngVien_PhongVan'!$R:$R,MATCH($B44,'01_UngVien_PhongVan'!$B:$B,0)),""))</f>
      </c>
      <c r="E44" s="61">
        <f t="array" ref="E44">IF($B44="","",IFERROR(INDEX('02_DS_Nhan_Viec'!$H:$H,MATCH($B44,'02_DS_Nhan_Viec'!$B:$B,0)),""))</f>
      </c>
      <c r="F44" s="68">
        <f t="array" ref="F44">IF($B44="","",IFERROR(INDEX('02_DS_Nhan_Viec'!$E:$E,MATCH($B44,'02_DS_Nhan_Viec'!$B:$B,0)),""))</f>
      </c>
      <c r="G44" s="68">
        <f t="shared" si="1"/>
      </c>
      <c r="H44" s="68">
        <f t="shared" si="2"/>
      </c>
      <c r="I44" s="68"/>
      <c r="J44" s="61"/>
      <c r="K44" s="61"/>
      <c r="L44" s="61"/>
      <c r="M44" s="61"/>
      <c r="N44" s="61"/>
      <c r="O44" s="61"/>
      <c r="P44" s="92"/>
      <c r="Q44" s="92"/>
      <c r="R44" s="93">
        <f t="shared" si="3"/>
      </c>
      <c r="S44" s="61"/>
      <c r="T44" s="61"/>
      <c r="U44" s="61"/>
      <c r="V44" s="61"/>
      <c r="W44" s="61">
        <f t="shared" si="4"/>
      </c>
      <c r="X44" s="94">
        <f t="shared" si="5"/>
      </c>
      <c r="Y44" s="94">
        <f t="shared" si="6"/>
      </c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95"/>
      <c r="AM44" s="61"/>
      <c r="AN44" s="61"/>
      <c r="AO44" s="68"/>
      <c r="AP44" s="61"/>
      <c r="AQ44" s="61"/>
      <c r="AR44" s="61"/>
      <c r="AS44" s="61"/>
      <c r="AT44" s="61"/>
      <c r="AU44" s="61"/>
      <c r="AV44" s="92"/>
      <c r="AW44" s="92"/>
      <c r="AX44" s="93">
        <f t="shared" si="7"/>
      </c>
      <c r="AY44" s="61"/>
      <c r="AZ44" s="61"/>
      <c r="BA44" s="61"/>
      <c r="BB44" s="61"/>
      <c r="BC44" s="61">
        <f t="shared" si="11"/>
      </c>
      <c r="BD44" s="94">
        <f t="shared" si="12"/>
      </c>
      <c r="BE44" s="94">
        <f t="shared" si="13"/>
      </c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95"/>
      <c r="BS44" s="61"/>
      <c r="BT44" s="61"/>
    </row>
    <row r="45" ht="14.25" customHeight="1" spans="1:72" x14ac:dyDescent="0.25">
      <c r="A45" s="61">
        <f t="shared" si="0"/>
      </c>
      <c r="B45" s="61">
        <f t="array" ref="B45">IFERROR(INDEX('02_DS_Nhan_Viec'!$B:$B,MATCH(ROW()-1,'02_DS_Nhan_Viec'!$M:$M,0)),"")</f>
      </c>
      <c r="C45" s="61">
        <f t="array" ref="C45">IF($B45="","",IFERROR(INDEX('01_UngVien_PhongVan'!$D:$D,MATCH($B45,'01_UngVien_PhongVan'!$B:$B,0)),"Không tìm thấy mã ứng viên"))</f>
      </c>
      <c r="D45" s="61">
        <f t="array" ref="D45">IF($B45="","",IFERROR(INDEX('01_UngVien_PhongVan'!$R:$R,MATCH($B45,'01_UngVien_PhongVan'!$B:$B,0)),""))</f>
      </c>
      <c r="E45" s="61">
        <f t="array" ref="E45">IF($B45="","",IFERROR(INDEX('02_DS_Nhan_Viec'!$H:$H,MATCH($B45,'02_DS_Nhan_Viec'!$B:$B,0)),""))</f>
      </c>
      <c r="F45" s="68">
        <f t="array" ref="F45">IF($B45="","",IFERROR(INDEX('02_DS_Nhan_Viec'!$E:$E,MATCH($B45,'02_DS_Nhan_Viec'!$B:$B,0)),""))</f>
      </c>
      <c r="G45" s="68">
        <f t="shared" si="1"/>
      </c>
      <c r="H45" s="68">
        <f t="shared" si="2"/>
      </c>
      <c r="I45" s="68"/>
      <c r="J45" s="61"/>
      <c r="K45" s="61"/>
      <c r="L45" s="61"/>
      <c r="M45" s="61"/>
      <c r="N45" s="61"/>
      <c r="O45" s="61"/>
      <c r="P45" s="92"/>
      <c r="Q45" s="92"/>
      <c r="R45" s="93">
        <f t="shared" si="3"/>
      </c>
      <c r="S45" s="61"/>
      <c r="T45" s="61"/>
      <c r="U45" s="61"/>
      <c r="V45" s="61"/>
      <c r="W45" s="61">
        <f t="shared" si="4"/>
      </c>
      <c r="X45" s="94">
        <f t="shared" si="5"/>
      </c>
      <c r="Y45" s="94">
        <f t="shared" si="6"/>
      </c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95"/>
      <c r="AM45" s="61"/>
      <c r="AN45" s="61"/>
      <c r="AO45" s="68"/>
      <c r="AP45" s="61"/>
      <c r="AQ45" s="61"/>
      <c r="AR45" s="61"/>
      <c r="AS45" s="61"/>
      <c r="AT45" s="61"/>
      <c r="AU45" s="61"/>
      <c r="AV45" s="92"/>
      <c r="AW45" s="92"/>
      <c r="AX45" s="93">
        <f t="shared" si="7"/>
      </c>
      <c r="AY45" s="61"/>
      <c r="AZ45" s="61"/>
      <c r="BA45" s="61"/>
      <c r="BB45" s="61"/>
      <c r="BC45" s="61">
        <f t="shared" si="11"/>
      </c>
      <c r="BD45" s="94">
        <f t="shared" si="12"/>
      </c>
      <c r="BE45" s="94">
        <f t="shared" si="13"/>
      </c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95"/>
      <c r="BS45" s="61"/>
      <c r="BT45" s="61"/>
    </row>
    <row r="46" ht="14.25" customHeight="1" spans="1:72" x14ac:dyDescent="0.25">
      <c r="A46" s="61">
        <f t="shared" si="0"/>
      </c>
      <c r="B46" s="61">
        <f t="array" ref="B46">IFERROR(INDEX('02_DS_Nhan_Viec'!$B:$B,MATCH(ROW()-1,'02_DS_Nhan_Viec'!$M:$M,0)),"")</f>
      </c>
      <c r="C46" s="61">
        <f t="array" ref="C46">IF($B46="","",IFERROR(INDEX('01_UngVien_PhongVan'!$D:$D,MATCH($B46,'01_UngVien_PhongVan'!$B:$B,0)),"Không tìm thấy mã ứng viên"))</f>
      </c>
      <c r="D46" s="61">
        <f t="array" ref="D46">IF($B46="","",IFERROR(INDEX('01_UngVien_PhongVan'!$R:$R,MATCH($B46,'01_UngVien_PhongVan'!$B:$B,0)),""))</f>
      </c>
      <c r="E46" s="61">
        <f t="array" ref="E46">IF($B46="","",IFERROR(INDEX('02_DS_Nhan_Viec'!$H:$H,MATCH($B46,'02_DS_Nhan_Viec'!$B:$B,0)),""))</f>
      </c>
      <c r="F46" s="68">
        <f t="array" ref="F46">IF($B46="","",IFERROR(INDEX('02_DS_Nhan_Viec'!$E:$E,MATCH($B46,'02_DS_Nhan_Viec'!$B:$B,0)),""))</f>
      </c>
      <c r="G46" s="68">
        <f t="shared" si="1"/>
      </c>
      <c r="H46" s="68">
        <f t="shared" si="2"/>
      </c>
      <c r="I46" s="68"/>
      <c r="J46" s="61"/>
      <c r="K46" s="61"/>
      <c r="L46" s="61"/>
      <c r="M46" s="61"/>
      <c r="N46" s="61"/>
      <c r="O46" s="61"/>
      <c r="P46" s="92"/>
      <c r="Q46" s="92"/>
      <c r="R46" s="93">
        <f t="shared" si="3"/>
      </c>
      <c r="S46" s="61"/>
      <c r="T46" s="61"/>
      <c r="U46" s="61"/>
      <c r="V46" s="61"/>
      <c r="W46" s="61">
        <f t="shared" si="4"/>
      </c>
      <c r="X46" s="94">
        <f t="shared" si="5"/>
      </c>
      <c r="Y46" s="94">
        <f t="shared" si="6"/>
      </c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95"/>
      <c r="AM46" s="61"/>
      <c r="AN46" s="61"/>
      <c r="AO46" s="68"/>
      <c r="AP46" s="61"/>
      <c r="AQ46" s="61"/>
      <c r="AR46" s="61"/>
      <c r="AS46" s="61"/>
      <c r="AT46" s="61"/>
      <c r="AU46" s="61"/>
      <c r="AV46" s="92"/>
      <c r="AW46" s="92"/>
      <c r="AX46" s="93">
        <f t="shared" si="7"/>
      </c>
      <c r="AY46" s="61"/>
      <c r="AZ46" s="61"/>
      <c r="BA46" s="61"/>
      <c r="BB46" s="61"/>
      <c r="BC46" s="61">
        <f t="shared" si="11"/>
      </c>
      <c r="BD46" s="94">
        <f t="shared" si="12"/>
      </c>
      <c r="BE46" s="94">
        <f t="shared" si="13"/>
      </c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95"/>
      <c r="BS46" s="61"/>
      <c r="BT46" s="61"/>
    </row>
    <row r="47" ht="14.25" customHeight="1" spans="1:72" x14ac:dyDescent="0.25">
      <c r="A47" s="61">
        <f t="shared" si="0"/>
      </c>
      <c r="B47" s="61">
        <f t="array" ref="B47">IFERROR(INDEX('02_DS_Nhan_Viec'!$B:$B,MATCH(ROW()-1,'02_DS_Nhan_Viec'!$M:$M,0)),"")</f>
      </c>
      <c r="C47" s="61">
        <f t="array" ref="C47">IF($B47="","",IFERROR(INDEX('01_UngVien_PhongVan'!$D:$D,MATCH($B47,'01_UngVien_PhongVan'!$B:$B,0)),"Không tìm thấy mã ứng viên"))</f>
      </c>
      <c r="D47" s="61">
        <f t="array" ref="D47">IF($B47="","",IFERROR(INDEX('01_UngVien_PhongVan'!$R:$R,MATCH($B47,'01_UngVien_PhongVan'!$B:$B,0)),""))</f>
      </c>
      <c r="E47" s="61">
        <f t="array" ref="E47">IF($B47="","",IFERROR(INDEX('02_DS_Nhan_Viec'!$H:$H,MATCH($B47,'02_DS_Nhan_Viec'!$B:$B,0)),""))</f>
      </c>
      <c r="F47" s="68">
        <f t="array" ref="F47">IF($B47="","",IFERROR(INDEX('02_DS_Nhan_Viec'!$E:$E,MATCH($B47,'02_DS_Nhan_Viec'!$B:$B,0)),""))</f>
      </c>
      <c r="G47" s="68">
        <f t="shared" si="1"/>
      </c>
      <c r="H47" s="68">
        <f t="shared" si="2"/>
      </c>
      <c r="I47" s="68"/>
      <c r="J47" s="61"/>
      <c r="K47" s="61"/>
      <c r="L47" s="61"/>
      <c r="M47" s="61"/>
      <c r="N47" s="61"/>
      <c r="O47" s="61"/>
      <c r="P47" s="92"/>
      <c r="Q47" s="92"/>
      <c r="R47" s="93">
        <f t="shared" si="3"/>
      </c>
      <c r="S47" s="61"/>
      <c r="T47" s="61"/>
      <c r="U47" s="61"/>
      <c r="V47" s="61"/>
      <c r="W47" s="61">
        <f t="shared" si="4"/>
      </c>
      <c r="X47" s="94">
        <f t="shared" si="5"/>
      </c>
      <c r="Y47" s="94">
        <f t="shared" si="6"/>
      </c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95"/>
      <c r="AM47" s="61"/>
      <c r="AN47" s="61"/>
      <c r="AO47" s="68"/>
      <c r="AP47" s="61"/>
      <c r="AQ47" s="61"/>
      <c r="AR47" s="61"/>
      <c r="AS47" s="61"/>
      <c r="AT47" s="61"/>
      <c r="AU47" s="61"/>
      <c r="AV47" s="92"/>
      <c r="AW47" s="92"/>
      <c r="AX47" s="93">
        <f t="shared" si="7"/>
      </c>
      <c r="AY47" s="61"/>
      <c r="AZ47" s="61"/>
      <c r="BA47" s="61"/>
      <c r="BB47" s="61"/>
      <c r="BC47" s="61">
        <f t="shared" si="11"/>
      </c>
      <c r="BD47" s="94">
        <f t="shared" si="12"/>
      </c>
      <c r="BE47" s="94">
        <f t="shared" si="13"/>
      </c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95"/>
      <c r="BS47" s="61"/>
      <c r="BT47" s="61"/>
    </row>
    <row r="48" ht="14.25" customHeight="1" spans="1:72" x14ac:dyDescent="0.25">
      <c r="A48" s="61">
        <f t="shared" si="0"/>
      </c>
      <c r="B48" s="61">
        <f t="array" ref="B48">IFERROR(INDEX('02_DS_Nhan_Viec'!$B:$B,MATCH(ROW()-1,'02_DS_Nhan_Viec'!$M:$M,0)),"")</f>
      </c>
      <c r="C48" s="61">
        <f t="array" ref="C48">IF($B48="","",IFERROR(INDEX('01_UngVien_PhongVan'!$D:$D,MATCH($B48,'01_UngVien_PhongVan'!$B:$B,0)),"Không tìm thấy mã ứng viên"))</f>
      </c>
      <c r="D48" s="61">
        <f t="array" ref="D48">IF($B48="","",IFERROR(INDEX('01_UngVien_PhongVan'!$R:$R,MATCH($B48,'01_UngVien_PhongVan'!$B:$B,0)),""))</f>
      </c>
      <c r="E48" s="61">
        <f t="array" ref="E48">IF($B48="","",IFERROR(INDEX('02_DS_Nhan_Viec'!$H:$H,MATCH($B48,'02_DS_Nhan_Viec'!$B:$B,0)),""))</f>
      </c>
      <c r="F48" s="68">
        <f t="array" ref="F48">IF($B48="","",IFERROR(INDEX('02_DS_Nhan_Viec'!$E:$E,MATCH($B48,'02_DS_Nhan_Viec'!$B:$B,0)),""))</f>
      </c>
      <c r="G48" s="68">
        <f t="shared" si="1"/>
      </c>
      <c r="H48" s="68">
        <f t="shared" si="2"/>
      </c>
      <c r="I48" s="68"/>
      <c r="J48" s="61"/>
      <c r="K48" s="61"/>
      <c r="L48" s="61"/>
      <c r="M48" s="61"/>
      <c r="N48" s="61"/>
      <c r="O48" s="61"/>
      <c r="P48" s="92"/>
      <c r="Q48" s="92"/>
      <c r="R48" s="93">
        <f t="shared" si="3"/>
      </c>
      <c r="S48" s="61"/>
      <c r="T48" s="61"/>
      <c r="U48" s="61"/>
      <c r="V48" s="61"/>
      <c r="W48" s="61">
        <f t="shared" si="4"/>
      </c>
      <c r="X48" s="94">
        <f t="shared" si="5"/>
      </c>
      <c r="Y48" s="94">
        <f t="shared" si="6"/>
      </c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95"/>
      <c r="AM48" s="61"/>
      <c r="AN48" s="61"/>
      <c r="AO48" s="68"/>
      <c r="AP48" s="61"/>
      <c r="AQ48" s="61"/>
      <c r="AR48" s="61"/>
      <c r="AS48" s="61"/>
      <c r="AT48" s="61"/>
      <c r="AU48" s="61"/>
      <c r="AV48" s="92"/>
      <c r="AW48" s="92"/>
      <c r="AX48" s="93">
        <f t="shared" si="7"/>
      </c>
      <c r="AY48" s="61"/>
      <c r="AZ48" s="61"/>
      <c r="BA48" s="61"/>
      <c r="BB48" s="61"/>
      <c r="BC48" s="61">
        <f t="shared" si="11"/>
      </c>
      <c r="BD48" s="94">
        <f t="shared" si="12"/>
      </c>
      <c r="BE48" s="94">
        <f t="shared" si="13"/>
      </c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95"/>
      <c r="BS48" s="61"/>
      <c r="BT48" s="61"/>
    </row>
    <row r="49" ht="14.25" customHeight="1" spans="1:72" x14ac:dyDescent="0.25">
      <c r="A49" s="61">
        <f t="shared" si="0"/>
      </c>
      <c r="B49" s="61">
        <f t="array" ref="B49">IFERROR(INDEX('02_DS_Nhan_Viec'!$B:$B,MATCH(ROW()-1,'02_DS_Nhan_Viec'!$M:$M,0)),"")</f>
      </c>
      <c r="C49" s="61">
        <f t="array" ref="C49">IF($B49="","",IFERROR(INDEX('01_UngVien_PhongVan'!$D:$D,MATCH($B49,'01_UngVien_PhongVan'!$B:$B,0)),"Không tìm thấy mã ứng viên"))</f>
      </c>
      <c r="D49" s="61">
        <f t="array" ref="D49">IF($B49="","",IFERROR(INDEX('01_UngVien_PhongVan'!$R:$R,MATCH($B49,'01_UngVien_PhongVan'!$B:$B,0)),""))</f>
      </c>
      <c r="E49" s="61">
        <f t="array" ref="E49">IF($B49="","",IFERROR(INDEX('02_DS_Nhan_Viec'!$H:$H,MATCH($B49,'02_DS_Nhan_Viec'!$B:$B,0)),""))</f>
      </c>
      <c r="F49" s="68">
        <f t="array" ref="F49">IF($B49="","",IFERROR(INDEX('02_DS_Nhan_Viec'!$E:$E,MATCH($B49,'02_DS_Nhan_Viec'!$B:$B,0)),""))</f>
      </c>
      <c r="G49" s="68">
        <f t="shared" si="1"/>
      </c>
      <c r="H49" s="68">
        <f t="shared" si="2"/>
      </c>
      <c r="I49" s="68"/>
      <c r="J49" s="61"/>
      <c r="K49" s="61"/>
      <c r="L49" s="61"/>
      <c r="M49" s="61"/>
      <c r="N49" s="61"/>
      <c r="O49" s="61"/>
      <c r="P49" s="92"/>
      <c r="Q49" s="92"/>
      <c r="R49" s="93">
        <f t="shared" si="3"/>
      </c>
      <c r="S49" s="61"/>
      <c r="T49" s="61"/>
      <c r="U49" s="61"/>
      <c r="V49" s="61"/>
      <c r="W49" s="61">
        <f t="shared" si="4"/>
      </c>
      <c r="X49" s="94">
        <f t="shared" si="5"/>
      </c>
      <c r="Y49" s="94">
        <f t="shared" si="6"/>
      </c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95"/>
      <c r="AM49" s="61"/>
      <c r="AN49" s="61"/>
      <c r="AO49" s="68"/>
      <c r="AP49" s="61"/>
      <c r="AQ49" s="61"/>
      <c r="AR49" s="61"/>
      <c r="AS49" s="61"/>
      <c r="AT49" s="61"/>
      <c r="AU49" s="61"/>
      <c r="AV49" s="92"/>
      <c r="AW49" s="92"/>
      <c r="AX49" s="93">
        <f t="shared" si="7"/>
      </c>
      <c r="AY49" s="61"/>
      <c r="AZ49" s="61"/>
      <c r="BA49" s="61"/>
      <c r="BB49" s="61"/>
      <c r="BC49" s="61">
        <f t="shared" si="11"/>
      </c>
      <c r="BD49" s="94">
        <f t="shared" si="12"/>
      </c>
      <c r="BE49" s="94">
        <f t="shared" si="13"/>
      </c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95"/>
      <c r="BS49" s="61"/>
      <c r="BT49" s="61"/>
    </row>
    <row r="50" ht="14.25" customHeight="1" spans="1:72" x14ac:dyDescent="0.25">
      <c r="A50" s="61">
        <f t="shared" si="0"/>
      </c>
      <c r="B50" s="61">
        <f t="array" ref="B50">IFERROR(INDEX('02_DS_Nhan_Viec'!$B:$B,MATCH(ROW()-1,'02_DS_Nhan_Viec'!$M:$M,0)),"")</f>
      </c>
      <c r="C50" s="61">
        <f t="array" ref="C50">IF($B50="","",IFERROR(INDEX('01_UngVien_PhongVan'!$D:$D,MATCH($B50,'01_UngVien_PhongVan'!$B:$B,0)),"Không tìm thấy mã ứng viên"))</f>
      </c>
      <c r="D50" s="61">
        <f t="array" ref="D50">IF($B50="","",IFERROR(INDEX('01_UngVien_PhongVan'!$R:$R,MATCH($B50,'01_UngVien_PhongVan'!$B:$B,0)),""))</f>
      </c>
      <c r="E50" s="61">
        <f t="array" ref="E50">IF($B50="","",IFERROR(INDEX('02_DS_Nhan_Viec'!$H:$H,MATCH($B50,'02_DS_Nhan_Viec'!$B:$B,0)),""))</f>
      </c>
      <c r="F50" s="68">
        <f t="array" ref="F50">IF($B50="","",IFERROR(INDEX('02_DS_Nhan_Viec'!$E:$E,MATCH($B50,'02_DS_Nhan_Viec'!$B:$B,0)),""))</f>
      </c>
      <c r="G50" s="68">
        <f t="shared" si="1"/>
      </c>
      <c r="H50" s="68">
        <f t="shared" si="2"/>
      </c>
      <c r="I50" s="68"/>
      <c r="J50" s="61"/>
      <c r="K50" s="61"/>
      <c r="L50" s="61"/>
      <c r="M50" s="61"/>
      <c r="N50" s="61"/>
      <c r="O50" s="61"/>
      <c r="P50" s="92"/>
      <c r="Q50" s="92"/>
      <c r="R50" s="93">
        <f t="shared" si="3"/>
      </c>
      <c r="S50" s="61"/>
      <c r="T50" s="61"/>
      <c r="U50" s="61"/>
      <c r="V50" s="61"/>
      <c r="W50" s="61">
        <f t="shared" si="4"/>
      </c>
      <c r="X50" s="94">
        <f t="shared" si="5"/>
      </c>
      <c r="Y50" s="94">
        <f t="shared" si="6"/>
      </c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95"/>
      <c r="AM50" s="61"/>
      <c r="AN50" s="61"/>
      <c r="AO50" s="68"/>
      <c r="AP50" s="61"/>
      <c r="AQ50" s="61"/>
      <c r="AR50" s="61"/>
      <c r="AS50" s="61"/>
      <c r="AT50" s="61"/>
      <c r="AU50" s="61"/>
      <c r="AV50" s="92"/>
      <c r="AW50" s="92"/>
      <c r="AX50" s="93">
        <f t="shared" si="7"/>
      </c>
      <c r="AY50" s="61"/>
      <c r="AZ50" s="61"/>
      <c r="BA50" s="61"/>
      <c r="BB50" s="61"/>
      <c r="BC50" s="61">
        <f t="shared" si="11"/>
      </c>
      <c r="BD50" s="94">
        <f t="shared" si="12"/>
      </c>
      <c r="BE50" s="94">
        <f t="shared" si="13"/>
      </c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95"/>
      <c r="BS50" s="61"/>
      <c r="BT50" s="61"/>
    </row>
    <row r="51" ht="14.25" customHeight="1" spans="1:72" x14ac:dyDescent="0.25">
      <c r="A51" s="61">
        <f t="shared" si="0"/>
      </c>
      <c r="B51" s="61">
        <f t="array" ref="B51">IFERROR(INDEX('02_DS_Nhan_Viec'!$B:$B,MATCH(ROW()-1,'02_DS_Nhan_Viec'!$M:$M,0)),"")</f>
      </c>
      <c r="C51" s="61">
        <f t="array" ref="C51">IF($B51="","",IFERROR(INDEX('01_UngVien_PhongVan'!$D:$D,MATCH($B51,'01_UngVien_PhongVan'!$B:$B,0)),"Không tìm thấy mã ứng viên"))</f>
      </c>
      <c r="D51" s="61">
        <f t="array" ref="D51">IF($B51="","",IFERROR(INDEX('01_UngVien_PhongVan'!$R:$R,MATCH($B51,'01_UngVien_PhongVan'!$B:$B,0)),""))</f>
      </c>
      <c r="E51" s="61">
        <f t="array" ref="E51">IF($B51="","",IFERROR(INDEX('02_DS_Nhan_Viec'!$H:$H,MATCH($B51,'02_DS_Nhan_Viec'!$B:$B,0)),""))</f>
      </c>
      <c r="F51" s="68">
        <f t="array" ref="F51">IF($B51="","",IFERROR(INDEX('02_DS_Nhan_Viec'!$E:$E,MATCH($B51,'02_DS_Nhan_Viec'!$B:$B,0)),""))</f>
      </c>
      <c r="G51" s="68">
        <f t="shared" si="1"/>
      </c>
      <c r="H51" s="68">
        <f t="shared" si="2"/>
      </c>
      <c r="I51" s="68"/>
      <c r="J51" s="61"/>
      <c r="K51" s="61"/>
      <c r="L51" s="61"/>
      <c r="M51" s="61"/>
      <c r="N51" s="61"/>
      <c r="O51" s="61"/>
      <c r="P51" s="92"/>
      <c r="Q51" s="92"/>
      <c r="R51" s="93">
        <f t="shared" si="3"/>
      </c>
      <c r="S51" s="61"/>
      <c r="T51" s="61"/>
      <c r="U51" s="61"/>
      <c r="V51" s="61"/>
      <c r="W51" s="61">
        <f t="shared" si="4"/>
      </c>
      <c r="X51" s="94">
        <f t="shared" si="5"/>
      </c>
      <c r="Y51" s="94">
        <f t="shared" si="6"/>
      </c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95"/>
      <c r="AM51" s="61"/>
      <c r="AN51" s="61"/>
      <c r="AO51" s="68"/>
      <c r="AP51" s="61"/>
      <c r="AQ51" s="61"/>
      <c r="AR51" s="61"/>
      <c r="AS51" s="61"/>
      <c r="AT51" s="61"/>
      <c r="AU51" s="61"/>
      <c r="AV51" s="92"/>
      <c r="AW51" s="92"/>
      <c r="AX51" s="93">
        <f t="shared" si="7"/>
      </c>
      <c r="AY51" s="61"/>
      <c r="AZ51" s="61"/>
      <c r="BA51" s="61"/>
      <c r="BB51" s="61"/>
      <c r="BC51" s="61">
        <f t="shared" si="11"/>
      </c>
      <c r="BD51" s="94">
        <f t="shared" si="12"/>
      </c>
      <c r="BE51" s="94">
        <f t="shared" si="13"/>
      </c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95"/>
      <c r="BS51" s="61"/>
      <c r="BT51" s="61"/>
    </row>
    <row r="52" ht="14.25" customHeight="1" spans="1:72" x14ac:dyDescent="0.25">
      <c r="A52" s="61">
        <f t="shared" si="0"/>
      </c>
      <c r="B52" s="61">
        <f t="array" ref="B52">IFERROR(INDEX('02_DS_Nhan_Viec'!$B:$B,MATCH(ROW()-1,'02_DS_Nhan_Viec'!$M:$M,0)),"")</f>
      </c>
      <c r="C52" s="61">
        <f t="array" ref="C52">IF($B52="","",IFERROR(INDEX('01_UngVien_PhongVan'!$D:$D,MATCH($B52,'01_UngVien_PhongVan'!$B:$B,0)),"Không tìm thấy mã ứng viên"))</f>
      </c>
      <c r="D52" s="61">
        <f t="array" ref="D52">IF($B52="","",IFERROR(INDEX('01_UngVien_PhongVan'!$R:$R,MATCH($B52,'01_UngVien_PhongVan'!$B:$B,0)),""))</f>
      </c>
      <c r="E52" s="61">
        <f t="array" ref="E52">IF($B52="","",IFERROR(INDEX('02_DS_Nhan_Viec'!$H:$H,MATCH($B52,'02_DS_Nhan_Viec'!$B:$B,0)),""))</f>
      </c>
      <c r="F52" s="68">
        <f t="array" ref="F52">IF($B52="","",IFERROR(INDEX('02_DS_Nhan_Viec'!$E:$E,MATCH($B52,'02_DS_Nhan_Viec'!$B:$B,0)),""))</f>
      </c>
      <c r="G52" s="68">
        <f t="shared" si="1"/>
      </c>
      <c r="H52" s="68">
        <f t="shared" si="2"/>
      </c>
      <c r="I52" s="68"/>
      <c r="J52" s="61"/>
      <c r="K52" s="61"/>
      <c r="L52" s="61"/>
      <c r="M52" s="61"/>
      <c r="N52" s="61"/>
      <c r="O52" s="61"/>
      <c r="P52" s="92"/>
      <c r="Q52" s="92"/>
      <c r="R52" s="93">
        <f t="shared" si="3"/>
      </c>
      <c r="S52" s="61"/>
      <c r="T52" s="61"/>
      <c r="U52" s="61"/>
      <c r="V52" s="61"/>
      <c r="W52" s="61">
        <f t="shared" si="4"/>
      </c>
      <c r="X52" s="94">
        <f t="shared" si="5"/>
      </c>
      <c r="Y52" s="94">
        <f t="shared" si="6"/>
      </c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95"/>
      <c r="AM52" s="61"/>
      <c r="AN52" s="61"/>
      <c r="AO52" s="68"/>
      <c r="AP52" s="61"/>
      <c r="AQ52" s="61"/>
      <c r="AR52" s="61"/>
      <c r="AS52" s="61"/>
      <c r="AT52" s="61"/>
      <c r="AU52" s="61"/>
      <c r="AV52" s="92"/>
      <c r="AW52" s="92"/>
      <c r="AX52" s="93">
        <f t="shared" si="7"/>
      </c>
      <c r="AY52" s="61"/>
      <c r="AZ52" s="61"/>
      <c r="BA52" s="61"/>
      <c r="BB52" s="61"/>
      <c r="BC52" s="61">
        <f t="shared" si="11"/>
      </c>
      <c r="BD52" s="94">
        <f t="shared" si="12"/>
      </c>
      <c r="BE52" s="94">
        <f t="shared" si="13"/>
      </c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95"/>
      <c r="BS52" s="61"/>
      <c r="BT52" s="61"/>
    </row>
    <row r="53" ht="14.25" customHeight="1" spans="1:72" x14ac:dyDescent="0.25">
      <c r="A53" s="61">
        <f t="shared" si="0"/>
      </c>
      <c r="B53" s="61">
        <f t="array" ref="B53">IFERROR(INDEX('02_DS_Nhan_Viec'!$B:$B,MATCH(ROW()-1,'02_DS_Nhan_Viec'!$M:$M,0)),"")</f>
      </c>
      <c r="C53" s="61">
        <f t="array" ref="C53">IF($B53="","",IFERROR(INDEX('01_UngVien_PhongVan'!$D:$D,MATCH($B53,'01_UngVien_PhongVan'!$B:$B,0)),"Không tìm thấy mã ứng viên"))</f>
      </c>
      <c r="D53" s="61">
        <f t="array" ref="D53">IF($B53="","",IFERROR(INDEX('01_UngVien_PhongVan'!$R:$R,MATCH($B53,'01_UngVien_PhongVan'!$B:$B,0)),""))</f>
      </c>
      <c r="E53" s="61">
        <f t="array" ref="E53">IF($B53="","",IFERROR(INDEX('02_DS_Nhan_Viec'!$H:$H,MATCH($B53,'02_DS_Nhan_Viec'!$B:$B,0)),""))</f>
      </c>
      <c r="F53" s="68">
        <f t="array" ref="F53">IF($B53="","",IFERROR(INDEX('02_DS_Nhan_Viec'!$E:$E,MATCH($B53,'02_DS_Nhan_Viec'!$B:$B,0)),""))</f>
      </c>
      <c r="G53" s="68">
        <f t="shared" si="1"/>
      </c>
      <c r="H53" s="68">
        <f t="shared" si="2"/>
      </c>
      <c r="I53" s="68"/>
      <c r="J53" s="61"/>
      <c r="K53" s="61"/>
      <c r="L53" s="61"/>
      <c r="M53" s="61"/>
      <c r="N53" s="61"/>
      <c r="O53" s="61"/>
      <c r="P53" s="92"/>
      <c r="Q53" s="92"/>
      <c r="R53" s="93">
        <f t="shared" si="3"/>
      </c>
      <c r="S53" s="61"/>
      <c r="T53" s="61"/>
      <c r="U53" s="61"/>
      <c r="V53" s="61"/>
      <c r="W53" s="61">
        <f t="shared" si="4"/>
      </c>
      <c r="X53" s="94">
        <f t="shared" si="5"/>
      </c>
      <c r="Y53" s="94">
        <f t="shared" si="6"/>
      </c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95"/>
      <c r="AM53" s="61"/>
      <c r="AN53" s="61"/>
      <c r="AO53" s="68"/>
      <c r="AP53" s="61"/>
      <c r="AQ53" s="61"/>
      <c r="AR53" s="61"/>
      <c r="AS53" s="61"/>
      <c r="AT53" s="61"/>
      <c r="AU53" s="61"/>
      <c r="AV53" s="92"/>
      <c r="AW53" s="92"/>
      <c r="AX53" s="93">
        <f t="shared" si="7"/>
      </c>
      <c r="AY53" s="61"/>
      <c r="AZ53" s="61"/>
      <c r="BA53" s="61"/>
      <c r="BB53" s="61"/>
      <c r="BC53" s="61">
        <f t="shared" si="11"/>
      </c>
      <c r="BD53" s="94">
        <f t="shared" si="12"/>
      </c>
      <c r="BE53" s="94">
        <f t="shared" si="13"/>
      </c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95"/>
      <c r="BS53" s="61"/>
      <c r="BT53" s="61"/>
    </row>
    <row r="54" ht="14.25" customHeight="1" spans="1:72" x14ac:dyDescent="0.25">
      <c r="A54" s="61">
        <f t="shared" si="0"/>
      </c>
      <c r="B54" s="61">
        <f t="array" ref="B54">IFERROR(INDEX('02_DS_Nhan_Viec'!$B:$B,MATCH(ROW()-1,'02_DS_Nhan_Viec'!$M:$M,0)),"")</f>
      </c>
      <c r="C54" s="61">
        <f t="array" ref="C54">IF($B54="","",IFERROR(INDEX('01_UngVien_PhongVan'!$D:$D,MATCH($B54,'01_UngVien_PhongVan'!$B:$B,0)),"Không tìm thấy mã ứng viên"))</f>
      </c>
      <c r="D54" s="61">
        <f t="array" ref="D54">IF($B54="","",IFERROR(INDEX('01_UngVien_PhongVan'!$R:$R,MATCH($B54,'01_UngVien_PhongVan'!$B:$B,0)),""))</f>
      </c>
      <c r="E54" s="61">
        <f t="array" ref="E54">IF($B54="","",IFERROR(INDEX('02_DS_Nhan_Viec'!$H:$H,MATCH($B54,'02_DS_Nhan_Viec'!$B:$B,0)),""))</f>
      </c>
      <c r="F54" s="68">
        <f t="array" ref="F54">IF($B54="","",IFERROR(INDEX('02_DS_Nhan_Viec'!$E:$E,MATCH($B54,'02_DS_Nhan_Viec'!$B:$B,0)),""))</f>
      </c>
      <c r="G54" s="68">
        <f t="shared" si="1"/>
      </c>
      <c r="H54" s="68">
        <f t="shared" si="2"/>
      </c>
      <c r="I54" s="68"/>
      <c r="J54" s="61"/>
      <c r="K54" s="61"/>
      <c r="L54" s="61"/>
      <c r="M54" s="61"/>
      <c r="N54" s="61"/>
      <c r="O54" s="61"/>
      <c r="P54" s="92"/>
      <c r="Q54" s="92"/>
      <c r="R54" s="93">
        <f t="shared" si="3"/>
      </c>
      <c r="S54" s="61"/>
      <c r="T54" s="61"/>
      <c r="U54" s="61"/>
      <c r="V54" s="61"/>
      <c r="W54" s="61">
        <f t="shared" si="4"/>
      </c>
      <c r="X54" s="94">
        <f t="shared" si="5"/>
      </c>
      <c r="Y54" s="94">
        <f t="shared" si="6"/>
      </c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95"/>
      <c r="AM54" s="61"/>
      <c r="AN54" s="61"/>
      <c r="AO54" s="68"/>
      <c r="AP54" s="61"/>
      <c r="AQ54" s="61"/>
      <c r="AR54" s="61"/>
      <c r="AS54" s="61"/>
      <c r="AT54" s="61"/>
      <c r="AU54" s="61"/>
      <c r="AV54" s="92"/>
      <c r="AW54" s="92"/>
      <c r="AX54" s="93">
        <f t="shared" si="7"/>
      </c>
      <c r="AY54" s="61"/>
      <c r="AZ54" s="61"/>
      <c r="BA54" s="61"/>
      <c r="BB54" s="61"/>
      <c r="BC54" s="61">
        <f t="shared" si="11"/>
      </c>
      <c r="BD54" s="94">
        <f t="shared" si="12"/>
      </c>
      <c r="BE54" s="94">
        <f t="shared" si="13"/>
      </c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95"/>
      <c r="BS54" s="61"/>
      <c r="BT54" s="61"/>
    </row>
    <row r="55" ht="14.25" customHeight="1" spans="1:72" x14ac:dyDescent="0.25">
      <c r="A55" s="61">
        <f t="shared" si="0"/>
      </c>
      <c r="B55" s="61">
        <f t="array" ref="B55">IFERROR(INDEX('02_DS_Nhan_Viec'!$B:$B,MATCH(ROW()-1,'02_DS_Nhan_Viec'!$M:$M,0)),"")</f>
      </c>
      <c r="C55" s="61">
        <f t="array" ref="C55">IF($B55="","",IFERROR(INDEX('01_UngVien_PhongVan'!$D:$D,MATCH($B55,'01_UngVien_PhongVan'!$B:$B,0)),"Không tìm thấy mã ứng viên"))</f>
      </c>
      <c r="D55" s="61">
        <f t="array" ref="D55">IF($B55="","",IFERROR(INDEX('01_UngVien_PhongVan'!$R:$R,MATCH($B55,'01_UngVien_PhongVan'!$B:$B,0)),""))</f>
      </c>
      <c r="E55" s="61">
        <f t="array" ref="E55">IF($B55="","",IFERROR(INDEX('02_DS_Nhan_Viec'!$H:$H,MATCH($B55,'02_DS_Nhan_Viec'!$B:$B,0)),""))</f>
      </c>
      <c r="F55" s="68">
        <f t="array" ref="F55">IF($B55="","",IFERROR(INDEX('02_DS_Nhan_Viec'!$E:$E,MATCH($B55,'02_DS_Nhan_Viec'!$B:$B,0)),""))</f>
      </c>
      <c r="G55" s="68">
        <f t="shared" si="1"/>
      </c>
      <c r="H55" s="68">
        <f t="shared" si="2"/>
      </c>
      <c r="I55" s="68"/>
      <c r="J55" s="61"/>
      <c r="K55" s="61"/>
      <c r="L55" s="61"/>
      <c r="M55" s="61"/>
      <c r="N55" s="61"/>
      <c r="O55" s="61"/>
      <c r="P55" s="92"/>
      <c r="Q55" s="92"/>
      <c r="R55" s="93">
        <f t="shared" si="3"/>
      </c>
      <c r="S55" s="61"/>
      <c r="T55" s="61"/>
      <c r="U55" s="61"/>
      <c r="V55" s="61"/>
      <c r="W55" s="61">
        <f t="shared" si="4"/>
      </c>
      <c r="X55" s="94">
        <f t="shared" si="5"/>
      </c>
      <c r="Y55" s="94">
        <f t="shared" si="6"/>
      </c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95"/>
      <c r="AM55" s="61"/>
      <c r="AN55" s="61"/>
      <c r="AO55" s="68"/>
      <c r="AP55" s="61"/>
      <c r="AQ55" s="61"/>
      <c r="AR55" s="61"/>
      <c r="AS55" s="61"/>
      <c r="AT55" s="61"/>
      <c r="AU55" s="61"/>
      <c r="AV55" s="92"/>
      <c r="AW55" s="92"/>
      <c r="AX55" s="93">
        <f t="shared" si="7"/>
      </c>
      <c r="AY55" s="61"/>
      <c r="AZ55" s="61"/>
      <c r="BA55" s="61"/>
      <c r="BB55" s="61"/>
      <c r="BC55" s="61">
        <f t="shared" si="11"/>
      </c>
      <c r="BD55" s="94">
        <f t="shared" si="12"/>
      </c>
      <c r="BE55" s="94">
        <f t="shared" si="13"/>
      </c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95"/>
      <c r="BS55" s="61"/>
      <c r="BT55" s="61"/>
    </row>
    <row r="56" ht="14.25" customHeight="1" spans="1:72" x14ac:dyDescent="0.25">
      <c r="A56" s="61">
        <f t="shared" si="0"/>
      </c>
      <c r="B56" s="61">
        <f t="array" ref="B56">IFERROR(INDEX('02_DS_Nhan_Viec'!$B:$B,MATCH(ROW()-1,'02_DS_Nhan_Viec'!$M:$M,0)),"")</f>
      </c>
      <c r="C56" s="61">
        <f t="array" ref="C56">IF($B56="","",IFERROR(INDEX('01_UngVien_PhongVan'!$D:$D,MATCH($B56,'01_UngVien_PhongVan'!$B:$B,0)),"Không tìm thấy mã ứng viên"))</f>
      </c>
      <c r="D56" s="61">
        <f t="array" ref="D56">IF($B56="","",IFERROR(INDEX('01_UngVien_PhongVan'!$R:$R,MATCH($B56,'01_UngVien_PhongVan'!$B:$B,0)),""))</f>
      </c>
      <c r="E56" s="61">
        <f t="array" ref="E56">IF($B56="","",IFERROR(INDEX('02_DS_Nhan_Viec'!$H:$H,MATCH($B56,'02_DS_Nhan_Viec'!$B:$B,0)),""))</f>
      </c>
      <c r="F56" s="68">
        <f t="array" ref="F56">IF($B56="","",IFERROR(INDEX('02_DS_Nhan_Viec'!$E:$E,MATCH($B56,'02_DS_Nhan_Viec'!$B:$B,0)),""))</f>
      </c>
      <c r="G56" s="68">
        <f t="shared" si="1"/>
      </c>
      <c r="H56" s="68">
        <f t="shared" si="2"/>
      </c>
      <c r="I56" s="68"/>
      <c r="J56" s="61"/>
      <c r="K56" s="61"/>
      <c r="L56" s="61"/>
      <c r="M56" s="61"/>
      <c r="N56" s="61"/>
      <c r="O56" s="61"/>
      <c r="P56" s="92"/>
      <c r="Q56" s="92"/>
      <c r="R56" s="93">
        <f t="shared" si="3"/>
      </c>
      <c r="S56" s="61"/>
      <c r="T56" s="61"/>
      <c r="U56" s="61"/>
      <c r="V56" s="61"/>
      <c r="W56" s="61">
        <f t="shared" si="4"/>
      </c>
      <c r="X56" s="94">
        <f t="shared" si="5"/>
      </c>
      <c r="Y56" s="94">
        <f t="shared" si="6"/>
      </c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95"/>
      <c r="AM56" s="61"/>
      <c r="AN56" s="61"/>
      <c r="AO56" s="68"/>
      <c r="AP56" s="61"/>
      <c r="AQ56" s="61"/>
      <c r="AR56" s="61"/>
      <c r="AS56" s="61"/>
      <c r="AT56" s="61"/>
      <c r="AU56" s="61"/>
      <c r="AV56" s="92"/>
      <c r="AW56" s="92"/>
      <c r="AX56" s="93">
        <f t="shared" si="7"/>
      </c>
      <c r="AY56" s="61"/>
      <c r="AZ56" s="61"/>
      <c r="BA56" s="61"/>
      <c r="BB56" s="61"/>
      <c r="BC56" s="61">
        <f t="shared" si="11"/>
      </c>
      <c r="BD56" s="94">
        <f t="shared" si="12"/>
      </c>
      <c r="BE56" s="94">
        <f t="shared" si="13"/>
      </c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95"/>
      <c r="BS56" s="61"/>
      <c r="BT56" s="61"/>
    </row>
    <row r="57" ht="14.25" customHeight="1" spans="1:72" x14ac:dyDescent="0.25">
      <c r="A57" s="61">
        <f t="shared" si="0"/>
      </c>
      <c r="B57" s="61">
        <f t="array" ref="B57">IFERROR(INDEX('02_DS_Nhan_Viec'!$B:$B,MATCH(ROW()-1,'02_DS_Nhan_Viec'!$M:$M,0)),"")</f>
      </c>
      <c r="C57" s="61">
        <f t="array" ref="C57">IF($B57="","",IFERROR(INDEX('01_UngVien_PhongVan'!$D:$D,MATCH($B57,'01_UngVien_PhongVan'!$B:$B,0)),"Không tìm thấy mã ứng viên"))</f>
      </c>
      <c r="D57" s="61">
        <f t="array" ref="D57">IF($B57="","",IFERROR(INDEX('01_UngVien_PhongVan'!$R:$R,MATCH($B57,'01_UngVien_PhongVan'!$B:$B,0)),""))</f>
      </c>
      <c r="E57" s="61">
        <f t="array" ref="E57">IF($B57="","",IFERROR(INDEX('02_DS_Nhan_Viec'!$H:$H,MATCH($B57,'02_DS_Nhan_Viec'!$B:$B,0)),""))</f>
      </c>
      <c r="F57" s="68">
        <f t="array" ref="F57">IF($B57="","",IFERROR(INDEX('02_DS_Nhan_Viec'!$E:$E,MATCH($B57,'02_DS_Nhan_Viec'!$B:$B,0)),""))</f>
      </c>
      <c r="G57" s="68">
        <f t="shared" si="1"/>
      </c>
      <c r="H57" s="68">
        <f t="shared" si="2"/>
      </c>
      <c r="I57" s="68"/>
      <c r="J57" s="61"/>
      <c r="K57" s="61"/>
      <c r="L57" s="61"/>
      <c r="M57" s="61"/>
      <c r="N57" s="61"/>
      <c r="O57" s="61"/>
      <c r="P57" s="92"/>
      <c r="Q57" s="92"/>
      <c r="R57" s="93">
        <f t="shared" si="3"/>
      </c>
      <c r="S57" s="61"/>
      <c r="T57" s="61"/>
      <c r="U57" s="61"/>
      <c r="V57" s="61"/>
      <c r="W57" s="61">
        <f t="shared" si="4"/>
      </c>
      <c r="X57" s="94">
        <f t="shared" si="5"/>
      </c>
      <c r="Y57" s="94">
        <f t="shared" si="6"/>
      </c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95"/>
      <c r="AM57" s="61"/>
      <c r="AN57" s="61"/>
      <c r="AO57" s="68"/>
      <c r="AP57" s="61"/>
      <c r="AQ57" s="61"/>
      <c r="AR57" s="61"/>
      <c r="AS57" s="61"/>
      <c r="AT57" s="61"/>
      <c r="AU57" s="61"/>
      <c r="AV57" s="92"/>
      <c r="AW57" s="92"/>
      <c r="AX57" s="93">
        <f t="shared" si="7"/>
      </c>
      <c r="AY57" s="61"/>
      <c r="AZ57" s="61"/>
      <c r="BA57" s="61"/>
      <c r="BB57" s="61"/>
      <c r="BC57" s="61">
        <f t="shared" si="11"/>
      </c>
      <c r="BD57" s="94">
        <f t="shared" si="12"/>
      </c>
      <c r="BE57" s="94">
        <f t="shared" si="13"/>
      </c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95"/>
      <c r="BS57" s="61"/>
      <c r="BT57" s="61"/>
    </row>
    <row r="58" ht="14.25" customHeight="1" spans="1:72" x14ac:dyDescent="0.25">
      <c r="A58" s="61">
        <f t="shared" si="0"/>
      </c>
      <c r="B58" s="61">
        <f t="array" ref="B58">IFERROR(INDEX('02_DS_Nhan_Viec'!$B:$B,MATCH(ROW()-1,'02_DS_Nhan_Viec'!$M:$M,0)),"")</f>
      </c>
      <c r="C58" s="61">
        <f t="array" ref="C58">IF($B58="","",IFERROR(INDEX('01_UngVien_PhongVan'!$D:$D,MATCH($B58,'01_UngVien_PhongVan'!$B:$B,0)),"Không tìm thấy mã ứng viên"))</f>
      </c>
      <c r="D58" s="61">
        <f t="array" ref="D58">IF($B58="","",IFERROR(INDEX('01_UngVien_PhongVan'!$R:$R,MATCH($B58,'01_UngVien_PhongVan'!$B:$B,0)),""))</f>
      </c>
      <c r="E58" s="61">
        <f t="array" ref="E58">IF($B58="","",IFERROR(INDEX('02_DS_Nhan_Viec'!$H:$H,MATCH($B58,'02_DS_Nhan_Viec'!$B:$B,0)),""))</f>
      </c>
      <c r="F58" s="68">
        <f t="array" ref="F58">IF($B58="","",IFERROR(INDEX('02_DS_Nhan_Viec'!$E:$E,MATCH($B58,'02_DS_Nhan_Viec'!$B:$B,0)),""))</f>
      </c>
      <c r="G58" s="68">
        <f t="shared" si="1"/>
      </c>
      <c r="H58" s="68">
        <f t="shared" si="2"/>
      </c>
      <c r="I58" s="68"/>
      <c r="J58" s="61"/>
      <c r="K58" s="61"/>
      <c r="L58" s="61"/>
      <c r="M58" s="61"/>
      <c r="N58" s="61"/>
      <c r="O58" s="61"/>
      <c r="P58" s="92"/>
      <c r="Q58" s="92"/>
      <c r="R58" s="93">
        <f t="shared" si="3"/>
      </c>
      <c r="S58" s="61"/>
      <c r="T58" s="61"/>
      <c r="U58" s="61"/>
      <c r="V58" s="61"/>
      <c r="W58" s="61">
        <f t="shared" si="4"/>
      </c>
      <c r="X58" s="94">
        <f t="shared" si="5"/>
      </c>
      <c r="Y58" s="94">
        <f t="shared" si="6"/>
      </c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95"/>
      <c r="AM58" s="61"/>
      <c r="AN58" s="61"/>
      <c r="AO58" s="68"/>
      <c r="AP58" s="61"/>
      <c r="AQ58" s="61"/>
      <c r="AR58" s="61"/>
      <c r="AS58" s="61"/>
      <c r="AT58" s="61"/>
      <c r="AU58" s="61"/>
      <c r="AV58" s="92"/>
      <c r="AW58" s="92"/>
      <c r="AX58" s="93">
        <f t="shared" si="7"/>
      </c>
      <c r="AY58" s="61"/>
      <c r="AZ58" s="61"/>
      <c r="BA58" s="61"/>
      <c r="BB58" s="61"/>
      <c r="BC58" s="61">
        <f t="shared" si="11"/>
      </c>
      <c r="BD58" s="94">
        <f t="shared" si="12"/>
      </c>
      <c r="BE58" s="94">
        <f t="shared" si="13"/>
      </c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95"/>
      <c r="BS58" s="61"/>
      <c r="BT58" s="61"/>
    </row>
    <row r="59" ht="14.25" customHeight="1" spans="1:72" x14ac:dyDescent="0.25">
      <c r="A59" s="61">
        <f t="shared" si="0"/>
      </c>
      <c r="B59" s="61">
        <f t="array" ref="B59">IFERROR(INDEX('02_DS_Nhan_Viec'!$B:$B,MATCH(ROW()-1,'02_DS_Nhan_Viec'!$M:$M,0)),"")</f>
      </c>
      <c r="C59" s="61">
        <f t="array" ref="C59">IF($B59="","",IFERROR(INDEX('01_UngVien_PhongVan'!$D:$D,MATCH($B59,'01_UngVien_PhongVan'!$B:$B,0)),"Không tìm thấy mã ứng viên"))</f>
      </c>
      <c r="D59" s="61">
        <f t="array" ref="D59">IF($B59="","",IFERROR(INDEX('01_UngVien_PhongVan'!$R:$R,MATCH($B59,'01_UngVien_PhongVan'!$B:$B,0)),""))</f>
      </c>
      <c r="E59" s="61">
        <f t="array" ref="E59">IF($B59="","",IFERROR(INDEX('02_DS_Nhan_Viec'!$H:$H,MATCH($B59,'02_DS_Nhan_Viec'!$B:$B,0)),""))</f>
      </c>
      <c r="F59" s="68">
        <f t="array" ref="F59">IF($B59="","",IFERROR(INDEX('02_DS_Nhan_Viec'!$E:$E,MATCH($B59,'02_DS_Nhan_Viec'!$B:$B,0)),""))</f>
      </c>
      <c r="G59" s="68">
        <f t="shared" si="1"/>
      </c>
      <c r="H59" s="68">
        <f t="shared" si="2"/>
      </c>
      <c r="I59" s="68"/>
      <c r="J59" s="61"/>
      <c r="K59" s="61"/>
      <c r="L59" s="61"/>
      <c r="M59" s="61"/>
      <c r="N59" s="61"/>
      <c r="O59" s="61"/>
      <c r="P59" s="92"/>
      <c r="Q59" s="92"/>
      <c r="R59" s="93">
        <f t="shared" si="3"/>
      </c>
      <c r="S59" s="61"/>
      <c r="T59" s="61"/>
      <c r="U59" s="61"/>
      <c r="V59" s="61"/>
      <c r="W59" s="61">
        <f t="shared" si="4"/>
      </c>
      <c r="X59" s="94">
        <f t="shared" si="5"/>
      </c>
      <c r="Y59" s="94">
        <f t="shared" si="6"/>
      </c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95"/>
      <c r="AM59" s="61"/>
      <c r="AN59" s="61"/>
      <c r="AO59" s="68"/>
      <c r="AP59" s="61"/>
      <c r="AQ59" s="61"/>
      <c r="AR59" s="61"/>
      <c r="AS59" s="61"/>
      <c r="AT59" s="61"/>
      <c r="AU59" s="61"/>
      <c r="AV59" s="92"/>
      <c r="AW59" s="92"/>
      <c r="AX59" s="93">
        <f t="shared" si="7"/>
      </c>
      <c r="AY59" s="61"/>
      <c r="AZ59" s="61"/>
      <c r="BA59" s="61"/>
      <c r="BB59" s="61"/>
      <c r="BC59" s="61">
        <f t="shared" si="11"/>
      </c>
      <c r="BD59" s="94">
        <f t="shared" si="12"/>
      </c>
      <c r="BE59" s="94">
        <f t="shared" si="13"/>
      </c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95"/>
      <c r="BS59" s="61"/>
      <c r="BT59" s="61"/>
    </row>
    <row r="60" ht="14.25" customHeight="1" spans="1:72" x14ac:dyDescent="0.25">
      <c r="A60" s="61">
        <f t="shared" si="0"/>
      </c>
      <c r="B60" s="61">
        <f t="array" ref="B60">IFERROR(INDEX('02_DS_Nhan_Viec'!$B:$B,MATCH(ROW()-1,'02_DS_Nhan_Viec'!$M:$M,0)),"")</f>
      </c>
      <c r="C60" s="61">
        <f t="array" ref="C60">IF($B60="","",IFERROR(INDEX('01_UngVien_PhongVan'!$D:$D,MATCH($B60,'01_UngVien_PhongVan'!$B:$B,0)),"Không tìm thấy mã ứng viên"))</f>
      </c>
      <c r="D60" s="61">
        <f t="array" ref="D60">IF($B60="","",IFERROR(INDEX('01_UngVien_PhongVan'!$R:$R,MATCH($B60,'01_UngVien_PhongVan'!$B:$B,0)),""))</f>
      </c>
      <c r="E60" s="61">
        <f t="array" ref="E60">IF($B60="","",IFERROR(INDEX('02_DS_Nhan_Viec'!$H:$H,MATCH($B60,'02_DS_Nhan_Viec'!$B:$B,0)),""))</f>
      </c>
      <c r="F60" s="68">
        <f t="array" ref="F60">IF($B60="","",IFERROR(INDEX('02_DS_Nhan_Viec'!$E:$E,MATCH($B60,'02_DS_Nhan_Viec'!$B:$B,0)),""))</f>
      </c>
      <c r="G60" s="68">
        <f t="shared" si="1"/>
      </c>
      <c r="H60" s="68">
        <f t="shared" si="2"/>
      </c>
      <c r="I60" s="68"/>
      <c r="J60" s="61"/>
      <c r="K60" s="61"/>
      <c r="L60" s="61"/>
      <c r="M60" s="61"/>
      <c r="N60" s="61"/>
      <c r="O60" s="61"/>
      <c r="P60" s="92"/>
      <c r="Q60" s="92"/>
      <c r="R60" s="93">
        <f t="shared" si="3"/>
      </c>
      <c r="S60" s="61"/>
      <c r="T60" s="61"/>
      <c r="U60" s="61"/>
      <c r="V60" s="61"/>
      <c r="W60" s="61">
        <f t="shared" si="4"/>
      </c>
      <c r="X60" s="94">
        <f t="shared" si="5"/>
      </c>
      <c r="Y60" s="94">
        <f t="shared" si="6"/>
      </c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95"/>
      <c r="AM60" s="61"/>
      <c r="AN60" s="61"/>
      <c r="AO60" s="68"/>
      <c r="AP60" s="61"/>
      <c r="AQ60" s="61"/>
      <c r="AR60" s="61"/>
      <c r="AS60" s="61"/>
      <c r="AT60" s="61"/>
      <c r="AU60" s="61"/>
      <c r="AV60" s="92"/>
      <c r="AW60" s="92"/>
      <c r="AX60" s="93">
        <f t="shared" si="7"/>
      </c>
      <c r="AY60" s="61"/>
      <c r="AZ60" s="61"/>
      <c r="BA60" s="61"/>
      <c r="BB60" s="61"/>
      <c r="BC60" s="61">
        <f t="shared" si="11"/>
      </c>
      <c r="BD60" s="94">
        <f t="shared" si="12"/>
      </c>
      <c r="BE60" s="94">
        <f t="shared" si="13"/>
      </c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95"/>
      <c r="BS60" s="61"/>
      <c r="BT60" s="61"/>
    </row>
    <row r="61" ht="14.25" customHeight="1" spans="1:72" x14ac:dyDescent="0.25">
      <c r="A61" s="61">
        <f t="shared" si="0"/>
      </c>
      <c r="B61" s="61">
        <f t="array" ref="B61">IFERROR(INDEX('02_DS_Nhan_Viec'!$B:$B,MATCH(ROW()-1,'02_DS_Nhan_Viec'!$M:$M,0)),"")</f>
      </c>
      <c r="C61" s="61">
        <f t="array" ref="C61">IF($B61="","",IFERROR(INDEX('01_UngVien_PhongVan'!$D:$D,MATCH($B61,'01_UngVien_PhongVan'!$B:$B,0)),"Không tìm thấy mã ứng viên"))</f>
      </c>
      <c r="D61" s="61">
        <f t="array" ref="D61">IF($B61="","",IFERROR(INDEX('01_UngVien_PhongVan'!$R:$R,MATCH($B61,'01_UngVien_PhongVan'!$B:$B,0)),""))</f>
      </c>
      <c r="E61" s="61">
        <f t="array" ref="E61">IF($B61="","",IFERROR(INDEX('02_DS_Nhan_Viec'!$H:$H,MATCH($B61,'02_DS_Nhan_Viec'!$B:$B,0)),""))</f>
      </c>
      <c r="F61" s="68">
        <f t="array" ref="F61">IF($B61="","",IFERROR(INDEX('02_DS_Nhan_Viec'!$E:$E,MATCH($B61,'02_DS_Nhan_Viec'!$B:$B,0)),""))</f>
      </c>
      <c r="G61" s="68">
        <f t="shared" si="1"/>
      </c>
      <c r="H61" s="68">
        <f t="shared" si="2"/>
      </c>
      <c r="I61" s="68"/>
      <c r="J61" s="61"/>
      <c r="K61" s="61"/>
      <c r="L61" s="61"/>
      <c r="M61" s="61"/>
      <c r="N61" s="61"/>
      <c r="O61" s="61"/>
      <c r="P61" s="92"/>
      <c r="Q61" s="92"/>
      <c r="R61" s="93">
        <f t="shared" si="3"/>
      </c>
      <c r="S61" s="61"/>
      <c r="T61" s="61"/>
      <c r="U61" s="61"/>
      <c r="V61" s="61"/>
      <c r="W61" s="61">
        <f t="shared" si="4"/>
      </c>
      <c r="X61" s="94">
        <f t="shared" si="5"/>
      </c>
      <c r="Y61" s="94">
        <f t="shared" si="6"/>
      </c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95"/>
      <c r="AM61" s="61"/>
      <c r="AN61" s="61"/>
      <c r="AO61" s="68"/>
      <c r="AP61" s="61"/>
      <c r="AQ61" s="61"/>
      <c r="AR61" s="61"/>
      <c r="AS61" s="61"/>
      <c r="AT61" s="61"/>
      <c r="AU61" s="61"/>
      <c r="AV61" s="92"/>
      <c r="AW61" s="92"/>
      <c r="AX61" s="93">
        <f t="shared" si="7"/>
      </c>
      <c r="AY61" s="61"/>
      <c r="AZ61" s="61"/>
      <c r="BA61" s="61"/>
      <c r="BB61" s="61"/>
      <c r="BC61" s="61">
        <f t="shared" si="11"/>
      </c>
      <c r="BD61" s="94">
        <f t="shared" si="12"/>
      </c>
      <c r="BE61" s="94">
        <f t="shared" si="13"/>
      </c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95"/>
      <c r="BS61" s="61"/>
      <c r="BT61" s="61"/>
    </row>
    <row r="62" ht="14.25" customHeight="1" spans="1:72" x14ac:dyDescent="0.25">
      <c r="A62" s="61">
        <f t="shared" si="0"/>
      </c>
      <c r="B62" s="61">
        <f t="array" ref="B62">IFERROR(INDEX('02_DS_Nhan_Viec'!$B:$B,MATCH(ROW()-1,'02_DS_Nhan_Viec'!$M:$M,0)),"")</f>
      </c>
      <c r="C62" s="61">
        <f t="array" ref="C62">IF($B62="","",IFERROR(INDEX('01_UngVien_PhongVan'!$D:$D,MATCH($B62,'01_UngVien_PhongVan'!$B:$B,0)),"Không tìm thấy mã ứng viên"))</f>
      </c>
      <c r="D62" s="61">
        <f t="array" ref="D62">IF($B62="","",IFERROR(INDEX('01_UngVien_PhongVan'!$R:$R,MATCH($B62,'01_UngVien_PhongVan'!$B:$B,0)),""))</f>
      </c>
      <c r="E62" s="61">
        <f t="array" ref="E62">IF($B62="","",IFERROR(INDEX('02_DS_Nhan_Viec'!$H:$H,MATCH($B62,'02_DS_Nhan_Viec'!$B:$B,0)),""))</f>
      </c>
      <c r="F62" s="68">
        <f t="array" ref="F62">IF($B62="","",IFERROR(INDEX('02_DS_Nhan_Viec'!$E:$E,MATCH($B62,'02_DS_Nhan_Viec'!$B:$B,0)),""))</f>
      </c>
      <c r="G62" s="68">
        <f t="shared" si="1"/>
      </c>
      <c r="H62" s="68">
        <f t="shared" si="2"/>
      </c>
      <c r="I62" s="68"/>
      <c r="J62" s="61"/>
      <c r="K62" s="61"/>
      <c r="L62" s="61"/>
      <c r="M62" s="61"/>
      <c r="N62" s="61"/>
      <c r="O62" s="61"/>
      <c r="P62" s="92"/>
      <c r="Q62" s="92"/>
      <c r="R62" s="93">
        <f t="shared" si="3"/>
      </c>
      <c r="S62" s="61"/>
      <c r="T62" s="61"/>
      <c r="U62" s="61"/>
      <c r="V62" s="61"/>
      <c r="W62" s="61">
        <f t="shared" si="4"/>
      </c>
      <c r="X62" s="94">
        <f t="shared" si="5"/>
      </c>
      <c r="Y62" s="94">
        <f t="shared" si="6"/>
      </c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95"/>
      <c r="AM62" s="61"/>
      <c r="AN62" s="61"/>
      <c r="AO62" s="68"/>
      <c r="AP62" s="61"/>
      <c r="AQ62" s="61"/>
      <c r="AR62" s="61"/>
      <c r="AS62" s="61"/>
      <c r="AT62" s="61"/>
      <c r="AU62" s="61"/>
      <c r="AV62" s="92"/>
      <c r="AW62" s="92"/>
      <c r="AX62" s="93">
        <f t="shared" si="7"/>
      </c>
      <c r="AY62" s="61"/>
      <c r="AZ62" s="61"/>
      <c r="BA62" s="61"/>
      <c r="BB62" s="61"/>
      <c r="BC62" s="61">
        <f t="shared" si="11"/>
      </c>
      <c r="BD62" s="94">
        <f t="shared" si="12"/>
      </c>
      <c r="BE62" s="94">
        <f t="shared" si="13"/>
      </c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95"/>
      <c r="BS62" s="61"/>
      <c r="BT62" s="61"/>
    </row>
    <row r="63" ht="14.25" customHeight="1" spans="1:72" x14ac:dyDescent="0.25">
      <c r="A63" s="61">
        <f t="shared" si="0"/>
      </c>
      <c r="B63" s="61">
        <f t="array" ref="B63">IFERROR(INDEX('02_DS_Nhan_Viec'!$B:$B,MATCH(ROW()-1,'02_DS_Nhan_Viec'!$M:$M,0)),"")</f>
      </c>
      <c r="C63" s="61">
        <f t="array" ref="C63">IF($B63="","",IFERROR(INDEX('01_UngVien_PhongVan'!$D:$D,MATCH($B63,'01_UngVien_PhongVan'!$B:$B,0)),"Không tìm thấy mã ứng viên"))</f>
      </c>
      <c r="D63" s="61">
        <f t="array" ref="D63">IF($B63="","",IFERROR(INDEX('01_UngVien_PhongVan'!$R:$R,MATCH($B63,'01_UngVien_PhongVan'!$B:$B,0)),""))</f>
      </c>
      <c r="E63" s="61">
        <f t="array" ref="E63">IF($B63="","",IFERROR(INDEX('02_DS_Nhan_Viec'!$H:$H,MATCH($B63,'02_DS_Nhan_Viec'!$B:$B,0)),""))</f>
      </c>
      <c r="F63" s="68">
        <f t="array" ref="F63">IF($B63="","",IFERROR(INDEX('02_DS_Nhan_Viec'!$E:$E,MATCH($B63,'02_DS_Nhan_Viec'!$B:$B,0)),""))</f>
      </c>
      <c r="G63" s="68">
        <f t="shared" si="1"/>
      </c>
      <c r="H63" s="68">
        <f t="shared" si="2"/>
      </c>
      <c r="I63" s="68"/>
      <c r="J63" s="61"/>
      <c r="K63" s="61"/>
      <c r="L63" s="61"/>
      <c r="M63" s="61"/>
      <c r="N63" s="61"/>
      <c r="O63" s="61"/>
      <c r="P63" s="92"/>
      <c r="Q63" s="92"/>
      <c r="R63" s="93">
        <f t="shared" si="3"/>
      </c>
      <c r="S63" s="61"/>
      <c r="T63" s="61"/>
      <c r="U63" s="61"/>
      <c r="V63" s="61"/>
      <c r="W63" s="61">
        <f t="shared" si="4"/>
      </c>
      <c r="X63" s="94">
        <f t="shared" si="5"/>
      </c>
      <c r="Y63" s="94">
        <f t="shared" si="6"/>
      </c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95"/>
      <c r="AM63" s="61"/>
      <c r="AN63" s="61"/>
      <c r="AO63" s="68"/>
      <c r="AP63" s="61"/>
      <c r="AQ63" s="61"/>
      <c r="AR63" s="61"/>
      <c r="AS63" s="61"/>
      <c r="AT63" s="61"/>
      <c r="AU63" s="61"/>
      <c r="AV63" s="92"/>
      <c r="AW63" s="92"/>
      <c r="AX63" s="93">
        <f t="shared" si="7"/>
      </c>
      <c r="AY63" s="61"/>
      <c r="AZ63" s="61"/>
      <c r="BA63" s="61"/>
      <c r="BB63" s="61"/>
      <c r="BC63" s="61">
        <f t="shared" si="11"/>
      </c>
      <c r="BD63" s="94">
        <f t="shared" si="12"/>
      </c>
      <c r="BE63" s="94">
        <f t="shared" si="13"/>
      </c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95"/>
      <c r="BS63" s="61"/>
      <c r="BT63" s="61"/>
    </row>
    <row r="64" ht="14.25" customHeight="1" spans="1:72" x14ac:dyDescent="0.25">
      <c r="A64" s="61">
        <f t="shared" si="0"/>
      </c>
      <c r="B64" s="61">
        <f t="array" ref="B64">IFERROR(INDEX('02_DS_Nhan_Viec'!$B:$B,MATCH(ROW()-1,'02_DS_Nhan_Viec'!$M:$M,0)),"")</f>
      </c>
      <c r="C64" s="61">
        <f t="array" ref="C64">IF($B64="","",IFERROR(INDEX('01_UngVien_PhongVan'!$D:$D,MATCH($B64,'01_UngVien_PhongVan'!$B:$B,0)),"Không tìm thấy mã ứng viên"))</f>
      </c>
      <c r="D64" s="61">
        <f t="array" ref="D64">IF($B64="","",IFERROR(INDEX('01_UngVien_PhongVan'!$R:$R,MATCH($B64,'01_UngVien_PhongVan'!$B:$B,0)),""))</f>
      </c>
      <c r="E64" s="61">
        <f t="array" ref="E64">IF($B64="","",IFERROR(INDEX('02_DS_Nhan_Viec'!$H:$H,MATCH($B64,'02_DS_Nhan_Viec'!$B:$B,0)),""))</f>
      </c>
      <c r="F64" s="68">
        <f t="array" ref="F64">IF($B64="","",IFERROR(INDEX('02_DS_Nhan_Viec'!$E:$E,MATCH($B64,'02_DS_Nhan_Viec'!$B:$B,0)),""))</f>
      </c>
      <c r="G64" s="68">
        <f t="shared" si="1"/>
      </c>
      <c r="H64" s="68">
        <f t="shared" si="2"/>
      </c>
      <c r="I64" s="68"/>
      <c r="J64" s="61"/>
      <c r="K64" s="61"/>
      <c r="L64" s="61"/>
      <c r="M64" s="61"/>
      <c r="N64" s="61"/>
      <c r="O64" s="61"/>
      <c r="P64" s="92"/>
      <c r="Q64" s="92"/>
      <c r="R64" s="93">
        <f t="shared" si="3"/>
      </c>
      <c r="S64" s="61"/>
      <c r="T64" s="61"/>
      <c r="U64" s="61"/>
      <c r="V64" s="61"/>
      <c r="W64" s="61">
        <f t="shared" si="4"/>
      </c>
      <c r="X64" s="94">
        <f t="shared" si="5"/>
      </c>
      <c r="Y64" s="94">
        <f t="shared" si="6"/>
      </c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95"/>
      <c r="AM64" s="61"/>
      <c r="AN64" s="61"/>
      <c r="AO64" s="68"/>
      <c r="AP64" s="61"/>
      <c r="AQ64" s="61"/>
      <c r="AR64" s="61"/>
      <c r="AS64" s="61"/>
      <c r="AT64" s="61"/>
      <c r="AU64" s="61"/>
      <c r="AV64" s="92"/>
      <c r="AW64" s="92"/>
      <c r="AX64" s="93">
        <f t="shared" si="7"/>
      </c>
      <c r="AY64" s="61"/>
      <c r="AZ64" s="61"/>
      <c r="BA64" s="61"/>
      <c r="BB64" s="61"/>
      <c r="BC64" s="61">
        <f t="shared" si="11"/>
      </c>
      <c r="BD64" s="94">
        <f t="shared" si="12"/>
      </c>
      <c r="BE64" s="94">
        <f t="shared" si="13"/>
      </c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95"/>
      <c r="BS64" s="61"/>
      <c r="BT64" s="61"/>
    </row>
    <row r="65" ht="14.25" customHeight="1" spans="1:72" x14ac:dyDescent="0.25">
      <c r="A65" s="61">
        <f t="shared" si="0"/>
      </c>
      <c r="B65" s="61">
        <f t="array" ref="B65">IFERROR(INDEX('02_DS_Nhan_Viec'!$B:$B,MATCH(ROW()-1,'02_DS_Nhan_Viec'!$M:$M,0)),"")</f>
      </c>
      <c r="C65" s="61">
        <f t="array" ref="C65">IF($B65="","",IFERROR(INDEX('01_UngVien_PhongVan'!$D:$D,MATCH($B65,'01_UngVien_PhongVan'!$B:$B,0)),"Không tìm thấy mã ứng viên"))</f>
      </c>
      <c r="D65" s="61">
        <f t="array" ref="D65">IF($B65="","",IFERROR(INDEX('01_UngVien_PhongVan'!$R:$R,MATCH($B65,'01_UngVien_PhongVan'!$B:$B,0)),""))</f>
      </c>
      <c r="E65" s="61">
        <f t="array" ref="E65">IF($B65="","",IFERROR(INDEX('02_DS_Nhan_Viec'!$H:$H,MATCH($B65,'02_DS_Nhan_Viec'!$B:$B,0)),""))</f>
      </c>
      <c r="F65" s="68">
        <f t="array" ref="F65">IF($B65="","",IFERROR(INDEX('02_DS_Nhan_Viec'!$E:$E,MATCH($B65,'02_DS_Nhan_Viec'!$B:$B,0)),""))</f>
      </c>
      <c r="G65" s="68">
        <f t="shared" si="1"/>
      </c>
      <c r="H65" s="68">
        <f t="shared" si="2"/>
      </c>
      <c r="I65" s="68"/>
      <c r="J65" s="61"/>
      <c r="K65" s="61"/>
      <c r="L65" s="61"/>
      <c r="M65" s="61"/>
      <c r="N65" s="61"/>
      <c r="O65" s="61"/>
      <c r="P65" s="92"/>
      <c r="Q65" s="92"/>
      <c r="R65" s="93">
        <f t="shared" si="3"/>
      </c>
      <c r="S65" s="61"/>
      <c r="T65" s="61"/>
      <c r="U65" s="61"/>
      <c r="V65" s="61"/>
      <c r="W65" s="61">
        <f t="shared" si="4"/>
      </c>
      <c r="X65" s="94">
        <f t="shared" si="5"/>
      </c>
      <c r="Y65" s="94">
        <f t="shared" si="6"/>
      </c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95"/>
      <c r="AM65" s="61"/>
      <c r="AN65" s="61"/>
      <c r="AO65" s="68"/>
      <c r="AP65" s="61"/>
      <c r="AQ65" s="61"/>
      <c r="AR65" s="61"/>
      <c r="AS65" s="61"/>
      <c r="AT65" s="61"/>
      <c r="AU65" s="61"/>
      <c r="AV65" s="92"/>
      <c r="AW65" s="92"/>
      <c r="AX65" s="93">
        <f t="shared" si="7"/>
      </c>
      <c r="AY65" s="61"/>
      <c r="AZ65" s="61"/>
      <c r="BA65" s="61"/>
      <c r="BB65" s="61"/>
      <c r="BC65" s="61">
        <f t="shared" si="11"/>
      </c>
      <c r="BD65" s="94">
        <f t="shared" si="12"/>
      </c>
      <c r="BE65" s="94">
        <f t="shared" si="13"/>
      </c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95"/>
      <c r="BS65" s="61"/>
      <c r="BT65" s="61"/>
    </row>
    <row r="66" ht="14.25" customHeight="1" spans="1:72" x14ac:dyDescent="0.25">
      <c r="A66" s="61">
        <f t="shared" si="0"/>
      </c>
      <c r="B66" s="61">
        <f t="array" ref="B66">IFERROR(INDEX('02_DS_Nhan_Viec'!$B:$B,MATCH(ROW()-1,'02_DS_Nhan_Viec'!$M:$M,0)),"")</f>
      </c>
      <c r="C66" s="61">
        <f t="array" ref="C66">IF($B66="","",IFERROR(INDEX('01_UngVien_PhongVan'!$D:$D,MATCH($B66,'01_UngVien_PhongVan'!$B:$B,0)),"Không tìm thấy mã ứng viên"))</f>
      </c>
      <c r="D66" s="61">
        <f t="array" ref="D66">IF($B66="","",IFERROR(INDEX('01_UngVien_PhongVan'!$R:$R,MATCH($B66,'01_UngVien_PhongVan'!$B:$B,0)),""))</f>
      </c>
      <c r="E66" s="61">
        <f t="array" ref="E66">IF($B66="","",IFERROR(INDEX('02_DS_Nhan_Viec'!$H:$H,MATCH($B66,'02_DS_Nhan_Viec'!$B:$B,0)),""))</f>
      </c>
      <c r="F66" s="68">
        <f t="array" ref="F66">IF($B66="","",IFERROR(INDEX('02_DS_Nhan_Viec'!$E:$E,MATCH($B66,'02_DS_Nhan_Viec'!$B:$B,0)),""))</f>
      </c>
      <c r="G66" s="68">
        <f t="shared" si="1"/>
      </c>
      <c r="H66" s="68">
        <f t="shared" si="2"/>
      </c>
      <c r="I66" s="68"/>
      <c r="J66" s="61"/>
      <c r="K66" s="61"/>
      <c r="L66" s="61"/>
      <c r="M66" s="61"/>
      <c r="N66" s="61"/>
      <c r="O66" s="61"/>
      <c r="P66" s="92"/>
      <c r="Q66" s="92"/>
      <c r="R66" s="93">
        <f t="shared" si="3"/>
      </c>
      <c r="S66" s="61"/>
      <c r="T66" s="61"/>
      <c r="U66" s="61"/>
      <c r="V66" s="61"/>
      <c r="W66" s="61">
        <f t="shared" si="4"/>
      </c>
      <c r="X66" s="94">
        <f t="shared" si="5"/>
      </c>
      <c r="Y66" s="94">
        <f t="shared" si="6"/>
      </c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95"/>
      <c r="AM66" s="61"/>
      <c r="AN66" s="61"/>
      <c r="AO66" s="68"/>
      <c r="AP66" s="61"/>
      <c r="AQ66" s="61"/>
      <c r="AR66" s="61"/>
      <c r="AS66" s="61"/>
      <c r="AT66" s="61"/>
      <c r="AU66" s="61"/>
      <c r="AV66" s="92"/>
      <c r="AW66" s="92"/>
      <c r="AX66" s="93">
        <f t="shared" si="7"/>
      </c>
      <c r="AY66" s="61"/>
      <c r="AZ66" s="61"/>
      <c r="BA66" s="61"/>
      <c r="BB66" s="61"/>
      <c r="BC66" s="61">
        <f t="shared" si="11"/>
      </c>
      <c r="BD66" s="94">
        <f t="shared" si="12"/>
      </c>
      <c r="BE66" s="94">
        <f t="shared" si="13"/>
      </c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95"/>
      <c r="BS66" s="61"/>
      <c r="BT66" s="61"/>
    </row>
    <row r="67" ht="14.25" customHeight="1" spans="1:72" x14ac:dyDescent="0.25">
      <c r="A67" s="61">
        <f t="shared" si="0"/>
      </c>
      <c r="B67" s="61">
        <f t="array" ref="B67">IFERROR(INDEX('02_DS_Nhan_Viec'!$B:$B,MATCH(ROW()-1,'02_DS_Nhan_Viec'!$M:$M,0)),"")</f>
      </c>
      <c r="C67" s="61">
        <f t="array" ref="C67">IF($B67="","",IFERROR(INDEX('01_UngVien_PhongVan'!$D:$D,MATCH($B67,'01_UngVien_PhongVan'!$B:$B,0)),"Không tìm thấy mã ứng viên"))</f>
      </c>
      <c r="D67" s="61">
        <f t="array" ref="D67">IF($B67="","",IFERROR(INDEX('01_UngVien_PhongVan'!$R:$R,MATCH($B67,'01_UngVien_PhongVan'!$B:$B,0)),""))</f>
      </c>
      <c r="E67" s="61">
        <f t="array" ref="E67">IF($B67="","",IFERROR(INDEX('02_DS_Nhan_Viec'!$H:$H,MATCH($B67,'02_DS_Nhan_Viec'!$B:$B,0)),""))</f>
      </c>
      <c r="F67" s="68">
        <f t="array" ref="F67">IF($B67="","",IFERROR(INDEX('02_DS_Nhan_Viec'!$E:$E,MATCH($B67,'02_DS_Nhan_Viec'!$B:$B,0)),""))</f>
      </c>
      <c r="G67" s="68">
        <f t="shared" si="1"/>
      </c>
      <c r="H67" s="68">
        <f t="shared" si="2"/>
      </c>
      <c r="I67" s="68"/>
      <c r="J67" s="61"/>
      <c r="K67" s="61"/>
      <c r="L67" s="61"/>
      <c r="M67" s="61"/>
      <c r="N67" s="61"/>
      <c r="O67" s="61"/>
      <c r="P67" s="92"/>
      <c r="Q67" s="92"/>
      <c r="R67" s="93">
        <f t="shared" si="3"/>
      </c>
      <c r="S67" s="61"/>
      <c r="T67" s="61"/>
      <c r="U67" s="61"/>
      <c r="V67" s="61"/>
      <c r="W67" s="61">
        <f t="shared" si="4"/>
      </c>
      <c r="X67" s="94">
        <f t="shared" si="5"/>
      </c>
      <c r="Y67" s="94">
        <f t="shared" si="6"/>
      </c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95"/>
      <c r="AM67" s="61"/>
      <c r="AN67" s="61"/>
      <c r="AO67" s="68"/>
      <c r="AP67" s="61"/>
      <c r="AQ67" s="61"/>
      <c r="AR67" s="61"/>
      <c r="AS67" s="61"/>
      <c r="AT67" s="61"/>
      <c r="AU67" s="61"/>
      <c r="AV67" s="92"/>
      <c r="AW67" s="92"/>
      <c r="AX67" s="93">
        <f t="shared" si="7"/>
      </c>
      <c r="AY67" s="61"/>
      <c r="AZ67" s="61"/>
      <c r="BA67" s="61"/>
      <c r="BB67" s="61"/>
      <c r="BC67" s="61">
        <f t="shared" si="11"/>
      </c>
      <c r="BD67" s="94">
        <f t="shared" si="12"/>
      </c>
      <c r="BE67" s="94">
        <f t="shared" si="13"/>
      </c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95"/>
      <c r="BS67" s="61"/>
      <c r="BT67" s="61"/>
    </row>
    <row r="68" ht="14.25" customHeight="1" spans="1:72" x14ac:dyDescent="0.25">
      <c r="A68" s="61">
        <f t="shared" si="0"/>
      </c>
      <c r="B68" s="61">
        <f t="array" ref="B68">IFERROR(INDEX('02_DS_Nhan_Viec'!$B:$B,MATCH(ROW()-1,'02_DS_Nhan_Viec'!$M:$M,0)),"")</f>
      </c>
      <c r="C68" s="61">
        <f t="array" ref="C68">IF($B68="","",IFERROR(INDEX('01_UngVien_PhongVan'!$D:$D,MATCH($B68,'01_UngVien_PhongVan'!$B:$B,0)),"Không tìm thấy mã ứng viên"))</f>
      </c>
      <c r="D68" s="61">
        <f t="array" ref="D68">IF($B68="","",IFERROR(INDEX('01_UngVien_PhongVan'!$R:$R,MATCH($B68,'01_UngVien_PhongVan'!$B:$B,0)),""))</f>
      </c>
      <c r="E68" s="61">
        <f t="array" ref="E68">IF($B68="","",IFERROR(INDEX('02_DS_Nhan_Viec'!$H:$H,MATCH($B68,'02_DS_Nhan_Viec'!$B:$B,0)),""))</f>
      </c>
      <c r="F68" s="68">
        <f t="array" ref="F68">IF($B68="","",IFERROR(INDEX('02_DS_Nhan_Viec'!$E:$E,MATCH($B68,'02_DS_Nhan_Viec'!$B:$B,0)),""))</f>
      </c>
      <c r="G68" s="68">
        <f t="shared" si="1"/>
      </c>
      <c r="H68" s="68">
        <f t="shared" si="2"/>
      </c>
      <c r="I68" s="68"/>
      <c r="J68" s="61"/>
      <c r="K68" s="61"/>
      <c r="L68" s="61"/>
      <c r="M68" s="61"/>
      <c r="N68" s="61"/>
      <c r="O68" s="61"/>
      <c r="P68" s="92"/>
      <c r="Q68" s="92"/>
      <c r="R68" s="93">
        <f t="shared" si="3"/>
      </c>
      <c r="S68" s="61"/>
      <c r="T68" s="61"/>
      <c r="U68" s="61"/>
      <c r="V68" s="61"/>
      <c r="W68" s="61">
        <f t="shared" si="4"/>
      </c>
      <c r="X68" s="94">
        <f t="shared" si="5"/>
      </c>
      <c r="Y68" s="94">
        <f t="shared" si="6"/>
      </c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95"/>
      <c r="AM68" s="61"/>
      <c r="AN68" s="61"/>
      <c r="AO68" s="68"/>
      <c r="AP68" s="61"/>
      <c r="AQ68" s="61"/>
      <c r="AR68" s="61"/>
      <c r="AS68" s="61"/>
      <c r="AT68" s="61"/>
      <c r="AU68" s="61"/>
      <c r="AV68" s="92"/>
      <c r="AW68" s="92"/>
      <c r="AX68" s="93">
        <f t="shared" si="7"/>
      </c>
      <c r="AY68" s="61"/>
      <c r="AZ68" s="61"/>
      <c r="BA68" s="61"/>
      <c r="BB68" s="61"/>
      <c r="BC68" s="61">
        <f t="shared" si="11"/>
      </c>
      <c r="BD68" s="94">
        <f t="shared" si="12"/>
      </c>
      <c r="BE68" s="94">
        <f t="shared" si="13"/>
      </c>
      <c r="BF68" s="61"/>
      <c r="BG68" s="61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95"/>
      <c r="BS68" s="61"/>
      <c r="BT68" s="61"/>
    </row>
    <row r="69" ht="14.25" customHeight="1" spans="1:72" x14ac:dyDescent="0.25">
      <c r="A69" s="61">
        <f t="shared" si="0"/>
      </c>
      <c r="B69" s="61">
        <f t="array" ref="B69">IFERROR(INDEX('02_DS_Nhan_Viec'!$B:$B,MATCH(ROW()-1,'02_DS_Nhan_Viec'!$M:$M,0)),"")</f>
      </c>
      <c r="C69" s="61">
        <f t="array" ref="C69">IF($B69="","",IFERROR(INDEX('01_UngVien_PhongVan'!$D:$D,MATCH($B69,'01_UngVien_PhongVan'!$B:$B,0)),"Không tìm thấy mã ứng viên"))</f>
      </c>
      <c r="D69" s="61">
        <f t="array" ref="D69">IF($B69="","",IFERROR(INDEX('01_UngVien_PhongVan'!$R:$R,MATCH($B69,'01_UngVien_PhongVan'!$B:$B,0)),""))</f>
      </c>
      <c r="E69" s="61">
        <f t="array" ref="E69">IF($B69="","",IFERROR(INDEX('02_DS_Nhan_Viec'!$H:$H,MATCH($B69,'02_DS_Nhan_Viec'!$B:$B,0)),""))</f>
      </c>
      <c r="F69" s="68">
        <f t="array" ref="F69">IF($B69="","",IFERROR(INDEX('02_DS_Nhan_Viec'!$E:$E,MATCH($B69,'02_DS_Nhan_Viec'!$B:$B,0)),""))</f>
      </c>
      <c r="G69" s="68">
        <f t="shared" si="1"/>
      </c>
      <c r="H69" s="68">
        <f t="shared" si="2"/>
      </c>
      <c r="I69" s="68"/>
      <c r="J69" s="61"/>
      <c r="K69" s="61"/>
      <c r="L69" s="61"/>
      <c r="M69" s="61"/>
      <c r="N69" s="61"/>
      <c r="O69" s="61"/>
      <c r="P69" s="92"/>
      <c r="Q69" s="92"/>
      <c r="R69" s="93">
        <f t="shared" si="3"/>
      </c>
      <c r="S69" s="61"/>
      <c r="T69" s="61"/>
      <c r="U69" s="61"/>
      <c r="V69" s="61"/>
      <c r="W69" s="61">
        <f t="shared" si="4"/>
      </c>
      <c r="X69" s="94">
        <f t="shared" si="5"/>
      </c>
      <c r="Y69" s="94">
        <f t="shared" si="6"/>
      </c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95"/>
      <c r="AM69" s="61"/>
      <c r="AN69" s="61"/>
      <c r="AO69" s="68"/>
      <c r="AP69" s="61"/>
      <c r="AQ69" s="61"/>
      <c r="AR69" s="61"/>
      <c r="AS69" s="61"/>
      <c r="AT69" s="61"/>
      <c r="AU69" s="61"/>
      <c r="AV69" s="92"/>
      <c r="AW69" s="92"/>
      <c r="AX69" s="93">
        <f t="shared" si="7"/>
      </c>
      <c r="AY69" s="61"/>
      <c r="AZ69" s="61"/>
      <c r="BA69" s="61"/>
      <c r="BB69" s="61"/>
      <c r="BC69" s="61">
        <f t="shared" si="11"/>
      </c>
      <c r="BD69" s="94">
        <f t="shared" si="12"/>
      </c>
      <c r="BE69" s="94">
        <f t="shared" si="13"/>
      </c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95"/>
      <c r="BS69" s="61"/>
      <c r="BT69" s="61"/>
    </row>
    <row r="70" ht="14.25" customHeight="1" spans="1:72" x14ac:dyDescent="0.25">
      <c r="A70" s="61">
        <f t="shared" si="0"/>
      </c>
      <c r="B70" s="61">
        <f t="array" ref="B70">IFERROR(INDEX('02_DS_Nhan_Viec'!$B:$B,MATCH(ROW()-1,'02_DS_Nhan_Viec'!$M:$M,0)),"")</f>
      </c>
      <c r="C70" s="61">
        <f t="array" ref="C70">IF($B70="","",IFERROR(INDEX('01_UngVien_PhongVan'!$D:$D,MATCH($B70,'01_UngVien_PhongVan'!$B:$B,0)),"Không tìm thấy mã ứng viên"))</f>
      </c>
      <c r="D70" s="61">
        <f t="array" ref="D70">IF($B70="","",IFERROR(INDEX('01_UngVien_PhongVan'!$R:$R,MATCH($B70,'01_UngVien_PhongVan'!$B:$B,0)),""))</f>
      </c>
      <c r="E70" s="61">
        <f t="array" ref="E70">IF($B70="","",IFERROR(INDEX('02_DS_Nhan_Viec'!$H:$H,MATCH($B70,'02_DS_Nhan_Viec'!$B:$B,0)),""))</f>
      </c>
      <c r="F70" s="68">
        <f t="array" ref="F70">IF($B70="","",IFERROR(INDEX('02_DS_Nhan_Viec'!$E:$E,MATCH($B70,'02_DS_Nhan_Viec'!$B:$B,0)),""))</f>
      </c>
      <c r="G70" s="68">
        <f t="shared" si="1"/>
      </c>
      <c r="H70" s="68">
        <f t="shared" si="2"/>
      </c>
      <c r="I70" s="68"/>
      <c r="J70" s="61"/>
      <c r="K70" s="61"/>
      <c r="L70" s="61"/>
      <c r="M70" s="61"/>
      <c r="N70" s="61"/>
      <c r="O70" s="61"/>
      <c r="P70" s="92"/>
      <c r="Q70" s="92"/>
      <c r="R70" s="93">
        <f t="shared" si="3"/>
      </c>
      <c r="S70" s="61"/>
      <c r="T70" s="61"/>
      <c r="U70" s="61"/>
      <c r="V70" s="61"/>
      <c r="W70" s="61">
        <f t="shared" si="4"/>
      </c>
      <c r="X70" s="94">
        <f t="shared" si="5"/>
      </c>
      <c r="Y70" s="94">
        <f t="shared" si="6"/>
      </c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95"/>
      <c r="AM70" s="61"/>
      <c r="AN70" s="61"/>
      <c r="AO70" s="68"/>
      <c r="AP70" s="61"/>
      <c r="AQ70" s="61"/>
      <c r="AR70" s="61"/>
      <c r="AS70" s="61"/>
      <c r="AT70" s="61"/>
      <c r="AU70" s="61"/>
      <c r="AV70" s="92"/>
      <c r="AW70" s="92"/>
      <c r="AX70" s="93">
        <f t="shared" si="7"/>
      </c>
      <c r="AY70" s="61"/>
      <c r="AZ70" s="61"/>
      <c r="BA70" s="61"/>
      <c r="BB70" s="61"/>
      <c r="BC70" s="61">
        <f t="shared" si="11"/>
      </c>
      <c r="BD70" s="94">
        <f t="shared" si="12"/>
      </c>
      <c r="BE70" s="94">
        <f t="shared" si="13"/>
      </c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95"/>
      <c r="BS70" s="61"/>
      <c r="BT70" s="61"/>
    </row>
    <row r="71" ht="14.25" customHeight="1" spans="1:72" x14ac:dyDescent="0.25">
      <c r="A71" s="61">
        <f t="shared" si="0"/>
      </c>
      <c r="B71" s="61">
        <f t="array" ref="B71">IFERROR(INDEX('02_DS_Nhan_Viec'!$B:$B,MATCH(ROW()-1,'02_DS_Nhan_Viec'!$M:$M,0)),"")</f>
      </c>
      <c r="C71" s="61">
        <f t="array" ref="C71">IF($B71="","",IFERROR(INDEX('01_UngVien_PhongVan'!$D:$D,MATCH($B71,'01_UngVien_PhongVan'!$B:$B,0)),"Không tìm thấy mã ứng viên"))</f>
      </c>
      <c r="D71" s="61">
        <f t="array" ref="D71">IF($B71="","",IFERROR(INDEX('01_UngVien_PhongVan'!$R:$R,MATCH($B71,'01_UngVien_PhongVan'!$B:$B,0)),""))</f>
      </c>
      <c r="E71" s="61">
        <f t="array" ref="E71">IF($B71="","",IFERROR(INDEX('02_DS_Nhan_Viec'!$H:$H,MATCH($B71,'02_DS_Nhan_Viec'!$B:$B,0)),""))</f>
      </c>
      <c r="F71" s="68">
        <f t="array" ref="F71">IF($B71="","",IFERROR(INDEX('02_DS_Nhan_Viec'!$E:$E,MATCH($B71,'02_DS_Nhan_Viec'!$B:$B,0)),""))</f>
      </c>
      <c r="G71" s="68">
        <f t="shared" si="1"/>
      </c>
      <c r="H71" s="68">
        <f t="shared" si="2"/>
      </c>
      <c r="I71" s="68"/>
      <c r="J71" s="61"/>
      <c r="K71" s="61"/>
      <c r="L71" s="61"/>
      <c r="M71" s="61"/>
      <c r="N71" s="61"/>
      <c r="O71" s="61"/>
      <c r="P71" s="92"/>
      <c r="Q71" s="92"/>
      <c r="R71" s="93">
        <f t="shared" si="3"/>
      </c>
      <c r="S71" s="61"/>
      <c r="T71" s="61"/>
      <c r="U71" s="61"/>
      <c r="V71" s="61"/>
      <c r="W71" s="61">
        <f t="shared" si="4"/>
      </c>
      <c r="X71" s="94">
        <f t="shared" si="5"/>
      </c>
      <c r="Y71" s="94">
        <f t="shared" si="6"/>
      </c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95"/>
      <c r="AM71" s="61"/>
      <c r="AN71" s="61"/>
      <c r="AO71" s="68"/>
      <c r="AP71" s="61"/>
      <c r="AQ71" s="61"/>
      <c r="AR71" s="61"/>
      <c r="AS71" s="61"/>
      <c r="AT71" s="61"/>
      <c r="AU71" s="61"/>
      <c r="AV71" s="92"/>
      <c r="AW71" s="92"/>
      <c r="AX71" s="93">
        <f t="shared" si="7"/>
      </c>
      <c r="AY71" s="61"/>
      <c r="AZ71" s="61"/>
      <c r="BA71" s="61"/>
      <c r="BB71" s="61"/>
      <c r="BC71" s="61">
        <f t="shared" si="11"/>
      </c>
      <c r="BD71" s="94">
        <f t="shared" si="12"/>
      </c>
      <c r="BE71" s="94">
        <f t="shared" si="13"/>
      </c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95"/>
      <c r="BS71" s="61"/>
      <c r="BT71" s="61"/>
    </row>
    <row r="72" ht="14.25" customHeight="1" spans="1:72" x14ac:dyDescent="0.25">
      <c r="A72" s="61">
        <f t="shared" si="0"/>
      </c>
      <c r="B72" s="61">
        <f t="array" ref="B72">IFERROR(INDEX('02_DS_Nhan_Viec'!$B:$B,MATCH(ROW()-1,'02_DS_Nhan_Viec'!$M:$M,0)),"")</f>
      </c>
      <c r="C72" s="61">
        <f t="array" ref="C72">IF($B72="","",IFERROR(INDEX('01_UngVien_PhongVan'!$D:$D,MATCH($B72,'01_UngVien_PhongVan'!$B:$B,0)),"Không tìm thấy mã ứng viên"))</f>
      </c>
      <c r="D72" s="61">
        <f t="array" ref="D72">IF($B72="","",IFERROR(INDEX('01_UngVien_PhongVan'!$R:$R,MATCH($B72,'01_UngVien_PhongVan'!$B:$B,0)),""))</f>
      </c>
      <c r="E72" s="61">
        <f t="array" ref="E72">IF($B72="","",IFERROR(INDEX('02_DS_Nhan_Viec'!$H:$H,MATCH($B72,'02_DS_Nhan_Viec'!$B:$B,0)),""))</f>
      </c>
      <c r="F72" s="68">
        <f t="array" ref="F72">IF($B72="","",IFERROR(INDEX('02_DS_Nhan_Viec'!$E:$E,MATCH($B72,'02_DS_Nhan_Viec'!$B:$B,0)),""))</f>
      </c>
      <c r="G72" s="68">
        <f t="shared" si="1"/>
      </c>
      <c r="H72" s="68">
        <f t="shared" si="2"/>
      </c>
      <c r="I72" s="68"/>
      <c r="J72" s="61"/>
      <c r="K72" s="61"/>
      <c r="L72" s="61"/>
      <c r="M72" s="61"/>
      <c r="N72" s="61"/>
      <c r="O72" s="61"/>
      <c r="P72" s="92"/>
      <c r="Q72" s="92"/>
      <c r="R72" s="93">
        <f t="shared" si="3"/>
      </c>
      <c r="S72" s="61"/>
      <c r="T72" s="61"/>
      <c r="U72" s="61"/>
      <c r="V72" s="61"/>
      <c r="W72" s="61">
        <f t="shared" si="4"/>
      </c>
      <c r="X72" s="94">
        <f t="shared" si="5"/>
      </c>
      <c r="Y72" s="94">
        <f t="shared" si="6"/>
      </c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95"/>
      <c r="AM72" s="61"/>
      <c r="AN72" s="61"/>
      <c r="AO72" s="68"/>
      <c r="AP72" s="61"/>
      <c r="AQ72" s="61"/>
      <c r="AR72" s="61"/>
      <c r="AS72" s="61"/>
      <c r="AT72" s="61"/>
      <c r="AU72" s="61"/>
      <c r="AV72" s="92"/>
      <c r="AW72" s="92"/>
      <c r="AX72" s="93">
        <f t="shared" si="7"/>
      </c>
      <c r="AY72" s="61"/>
      <c r="AZ72" s="61"/>
      <c r="BA72" s="61"/>
      <c r="BB72" s="61"/>
      <c r="BC72" s="61">
        <f t="shared" si="11"/>
      </c>
      <c r="BD72" s="94">
        <f t="shared" si="12"/>
      </c>
      <c r="BE72" s="94">
        <f t="shared" si="13"/>
      </c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95"/>
      <c r="BS72" s="61"/>
      <c r="BT72" s="61"/>
    </row>
    <row r="73" ht="14.25" customHeight="1" spans="1:72" x14ac:dyDescent="0.25">
      <c r="A73" s="61">
        <f t="shared" si="0"/>
      </c>
      <c r="B73" s="61">
        <f t="array" ref="B73">IFERROR(INDEX('02_DS_Nhan_Viec'!$B:$B,MATCH(ROW()-1,'02_DS_Nhan_Viec'!$M:$M,0)),"")</f>
      </c>
      <c r="C73" s="61">
        <f t="array" ref="C73">IF($B73="","",IFERROR(INDEX('01_UngVien_PhongVan'!$D:$D,MATCH($B73,'01_UngVien_PhongVan'!$B:$B,0)),"Không tìm thấy mã ứng viên"))</f>
      </c>
      <c r="D73" s="61">
        <f t="array" ref="D73">IF($B73="","",IFERROR(INDEX('01_UngVien_PhongVan'!$R:$R,MATCH($B73,'01_UngVien_PhongVan'!$B:$B,0)),""))</f>
      </c>
      <c r="E73" s="61">
        <f t="array" ref="E73">IF($B73="","",IFERROR(INDEX('02_DS_Nhan_Viec'!$H:$H,MATCH($B73,'02_DS_Nhan_Viec'!$B:$B,0)),""))</f>
      </c>
      <c r="F73" s="68">
        <f t="array" ref="F73">IF($B73="","",IFERROR(INDEX('02_DS_Nhan_Viec'!$E:$E,MATCH($B73,'02_DS_Nhan_Viec'!$B:$B,0)),""))</f>
      </c>
      <c r="G73" s="68">
        <f t="shared" si="1"/>
      </c>
      <c r="H73" s="68">
        <f t="shared" si="2"/>
      </c>
      <c r="I73" s="68"/>
      <c r="J73" s="61"/>
      <c r="K73" s="61"/>
      <c r="L73" s="61"/>
      <c r="M73" s="61"/>
      <c r="N73" s="61"/>
      <c r="O73" s="61"/>
      <c r="P73" s="92"/>
      <c r="Q73" s="92"/>
      <c r="R73" s="93">
        <f t="shared" si="3"/>
      </c>
      <c r="S73" s="61"/>
      <c r="T73" s="61"/>
      <c r="U73" s="61"/>
      <c r="V73" s="61"/>
      <c r="W73" s="61">
        <f t="shared" si="4"/>
      </c>
      <c r="X73" s="94">
        <f t="shared" si="5"/>
      </c>
      <c r="Y73" s="94">
        <f t="shared" si="6"/>
      </c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95"/>
      <c r="AM73" s="61"/>
      <c r="AN73" s="61"/>
      <c r="AO73" s="68"/>
      <c r="AP73" s="61"/>
      <c r="AQ73" s="61"/>
      <c r="AR73" s="61"/>
      <c r="AS73" s="61"/>
      <c r="AT73" s="61"/>
      <c r="AU73" s="61"/>
      <c r="AV73" s="92"/>
      <c r="AW73" s="92"/>
      <c r="AX73" s="93">
        <f t="shared" si="7"/>
      </c>
      <c r="AY73" s="61"/>
      <c r="AZ73" s="61"/>
      <c r="BA73" s="61"/>
      <c r="BB73" s="61"/>
      <c r="BC73" s="61">
        <f t="shared" si="11"/>
      </c>
      <c r="BD73" s="94">
        <f t="shared" si="12"/>
      </c>
      <c r="BE73" s="94">
        <f t="shared" si="13"/>
      </c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95"/>
      <c r="BS73" s="61"/>
      <c r="BT73" s="61"/>
    </row>
    <row r="74" ht="14.25" customHeight="1" spans="1:72" x14ac:dyDescent="0.25">
      <c r="A74" s="61">
        <f t="shared" si="0"/>
      </c>
      <c r="B74" s="61">
        <f t="array" ref="B74">IFERROR(INDEX('02_DS_Nhan_Viec'!$B:$B,MATCH(ROW()-1,'02_DS_Nhan_Viec'!$M:$M,0)),"")</f>
      </c>
      <c r="C74" s="61">
        <f t="array" ref="C74">IF($B74="","",IFERROR(INDEX('01_UngVien_PhongVan'!$D:$D,MATCH($B74,'01_UngVien_PhongVan'!$B:$B,0)),"Không tìm thấy mã ứng viên"))</f>
      </c>
      <c r="D74" s="61">
        <f t="array" ref="D74">IF($B74="","",IFERROR(INDEX('01_UngVien_PhongVan'!$R:$R,MATCH($B74,'01_UngVien_PhongVan'!$B:$B,0)),""))</f>
      </c>
      <c r="E74" s="61">
        <f t="array" ref="E74">IF($B74="","",IFERROR(INDEX('02_DS_Nhan_Viec'!$H:$H,MATCH($B74,'02_DS_Nhan_Viec'!$B:$B,0)),""))</f>
      </c>
      <c r="F74" s="68">
        <f t="array" ref="F74">IF($B74="","",IFERROR(INDEX('02_DS_Nhan_Viec'!$E:$E,MATCH($B74,'02_DS_Nhan_Viec'!$B:$B,0)),""))</f>
      </c>
      <c r="G74" s="68">
        <f t="shared" si="1"/>
      </c>
      <c r="H74" s="68">
        <f t="shared" si="2"/>
      </c>
      <c r="I74" s="68"/>
      <c r="J74" s="61"/>
      <c r="K74" s="61"/>
      <c r="L74" s="61"/>
      <c r="M74" s="61"/>
      <c r="N74" s="61"/>
      <c r="O74" s="61"/>
      <c r="P74" s="92"/>
      <c r="Q74" s="92"/>
      <c r="R74" s="93">
        <f t="shared" si="3"/>
      </c>
      <c r="S74" s="61"/>
      <c r="T74" s="61"/>
      <c r="U74" s="61"/>
      <c r="V74" s="61"/>
      <c r="W74" s="61">
        <f t="shared" si="4"/>
      </c>
      <c r="X74" s="94">
        <f t="shared" si="5"/>
      </c>
      <c r="Y74" s="94">
        <f t="shared" si="6"/>
      </c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95"/>
      <c r="AM74" s="61"/>
      <c r="AN74" s="61"/>
      <c r="AO74" s="68"/>
      <c r="AP74" s="61"/>
      <c r="AQ74" s="61"/>
      <c r="AR74" s="61"/>
      <c r="AS74" s="61"/>
      <c r="AT74" s="61"/>
      <c r="AU74" s="61"/>
      <c r="AV74" s="92"/>
      <c r="AW74" s="92"/>
      <c r="AX74" s="93">
        <f t="shared" si="7"/>
      </c>
      <c r="AY74" s="61"/>
      <c r="AZ74" s="61"/>
      <c r="BA74" s="61"/>
      <c r="BB74" s="61"/>
      <c r="BC74" s="61">
        <f t="shared" si="11"/>
      </c>
      <c r="BD74" s="94">
        <f t="shared" si="12"/>
      </c>
      <c r="BE74" s="94">
        <f t="shared" si="13"/>
      </c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95"/>
      <c r="BS74" s="61"/>
      <c r="BT74" s="61"/>
    </row>
    <row r="75" ht="14.25" customHeight="1" spans="1:72" x14ac:dyDescent="0.25">
      <c r="A75" s="61">
        <f t="shared" si="0"/>
      </c>
      <c r="B75" s="61">
        <f t="array" ref="B75">IFERROR(INDEX('02_DS_Nhan_Viec'!$B:$B,MATCH(ROW()-1,'02_DS_Nhan_Viec'!$M:$M,0)),"")</f>
      </c>
      <c r="C75" s="61">
        <f t="array" ref="C75">IF($B75="","",IFERROR(INDEX('01_UngVien_PhongVan'!$D:$D,MATCH($B75,'01_UngVien_PhongVan'!$B:$B,0)),"Không tìm thấy mã ứng viên"))</f>
      </c>
      <c r="D75" s="61">
        <f t="array" ref="D75">IF($B75="","",IFERROR(INDEX('01_UngVien_PhongVan'!$R:$R,MATCH($B75,'01_UngVien_PhongVan'!$B:$B,0)),""))</f>
      </c>
      <c r="E75" s="61">
        <f t="array" ref="E75">IF($B75="","",IFERROR(INDEX('02_DS_Nhan_Viec'!$H:$H,MATCH($B75,'02_DS_Nhan_Viec'!$B:$B,0)),""))</f>
      </c>
      <c r="F75" s="68">
        <f t="array" ref="F75">IF($B75="","",IFERROR(INDEX('02_DS_Nhan_Viec'!$E:$E,MATCH($B75,'02_DS_Nhan_Viec'!$B:$B,0)),""))</f>
      </c>
      <c r="G75" s="68">
        <f t="shared" si="1"/>
      </c>
      <c r="H75" s="68">
        <f t="shared" si="2"/>
      </c>
      <c r="I75" s="68"/>
      <c r="J75" s="61"/>
      <c r="K75" s="61"/>
      <c r="L75" s="61"/>
      <c r="M75" s="61"/>
      <c r="N75" s="61"/>
      <c r="O75" s="61"/>
      <c r="P75" s="92"/>
      <c r="Q75" s="92"/>
      <c r="R75" s="93">
        <f t="shared" si="3"/>
      </c>
      <c r="S75" s="61"/>
      <c r="T75" s="61"/>
      <c r="U75" s="61"/>
      <c r="V75" s="61"/>
      <c r="W75" s="61">
        <f t="shared" si="4"/>
      </c>
      <c r="X75" s="94">
        <f t="shared" si="5"/>
      </c>
      <c r="Y75" s="94">
        <f t="shared" si="6"/>
      </c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95"/>
      <c r="AM75" s="61"/>
      <c r="AN75" s="61"/>
      <c r="AO75" s="68"/>
      <c r="AP75" s="61"/>
      <c r="AQ75" s="61"/>
      <c r="AR75" s="61"/>
      <c r="AS75" s="61"/>
      <c r="AT75" s="61"/>
      <c r="AU75" s="61"/>
      <c r="AV75" s="92"/>
      <c r="AW75" s="92"/>
      <c r="AX75" s="93">
        <f t="shared" si="7"/>
      </c>
      <c r="AY75" s="61"/>
      <c r="AZ75" s="61"/>
      <c r="BA75" s="61"/>
      <c r="BB75" s="61"/>
      <c r="BC75" s="61">
        <f t="shared" si="11"/>
      </c>
      <c r="BD75" s="94">
        <f t="shared" si="12"/>
      </c>
      <c r="BE75" s="94">
        <f t="shared" si="13"/>
      </c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95"/>
      <c r="BS75" s="61"/>
      <c r="BT75" s="61"/>
    </row>
    <row r="76" ht="14.25" customHeight="1" spans="1:72" x14ac:dyDescent="0.25">
      <c r="A76" s="61">
        <f t="shared" si="0"/>
      </c>
      <c r="B76" s="61">
        <f t="array" ref="B76">IFERROR(INDEX('02_DS_Nhan_Viec'!$B:$B,MATCH(ROW()-1,'02_DS_Nhan_Viec'!$M:$M,0)),"")</f>
      </c>
      <c r="C76" s="61">
        <f t="array" ref="C76">IF($B76="","",IFERROR(INDEX('01_UngVien_PhongVan'!$D:$D,MATCH($B76,'01_UngVien_PhongVan'!$B:$B,0)),"Không tìm thấy mã ứng viên"))</f>
      </c>
      <c r="D76" s="61">
        <f t="array" ref="D76">IF($B76="","",IFERROR(INDEX('01_UngVien_PhongVan'!$R:$R,MATCH($B76,'01_UngVien_PhongVan'!$B:$B,0)),""))</f>
      </c>
      <c r="E76" s="61">
        <f t="array" ref="E76">IF($B76="","",IFERROR(INDEX('02_DS_Nhan_Viec'!$H:$H,MATCH($B76,'02_DS_Nhan_Viec'!$B:$B,0)),""))</f>
      </c>
      <c r="F76" s="68">
        <f t="array" ref="F76">IF($B76="","",IFERROR(INDEX('02_DS_Nhan_Viec'!$E:$E,MATCH($B76,'02_DS_Nhan_Viec'!$B:$B,0)),""))</f>
      </c>
      <c r="G76" s="68">
        <f t="shared" si="1"/>
      </c>
      <c r="H76" s="68">
        <f t="shared" si="2"/>
      </c>
      <c r="I76" s="68"/>
      <c r="J76" s="61"/>
      <c r="K76" s="61"/>
      <c r="L76" s="61"/>
      <c r="M76" s="61"/>
      <c r="N76" s="61"/>
      <c r="O76" s="61"/>
      <c r="P76" s="92"/>
      <c r="Q76" s="92"/>
      <c r="R76" s="93">
        <f t="shared" si="3"/>
      </c>
      <c r="S76" s="61"/>
      <c r="T76" s="61"/>
      <c r="U76" s="61"/>
      <c r="V76" s="61"/>
      <c r="W76" s="61">
        <f t="shared" si="4"/>
      </c>
      <c r="X76" s="94">
        <f t="shared" si="5"/>
      </c>
      <c r="Y76" s="94">
        <f t="shared" si="6"/>
      </c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95"/>
      <c r="AM76" s="61"/>
      <c r="AN76" s="61"/>
      <c r="AO76" s="68"/>
      <c r="AP76" s="61"/>
      <c r="AQ76" s="61"/>
      <c r="AR76" s="61"/>
      <c r="AS76" s="61"/>
      <c r="AT76" s="61"/>
      <c r="AU76" s="61"/>
      <c r="AV76" s="92"/>
      <c r="AW76" s="92"/>
      <c r="AX76" s="93">
        <f t="shared" si="7"/>
      </c>
      <c r="AY76" s="61"/>
      <c r="AZ76" s="61"/>
      <c r="BA76" s="61"/>
      <c r="BB76" s="61"/>
      <c r="BC76" s="61">
        <f t="shared" si="11"/>
      </c>
      <c r="BD76" s="94">
        <f t="shared" si="12"/>
      </c>
      <c r="BE76" s="94">
        <f t="shared" si="13"/>
      </c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95"/>
      <c r="BS76" s="61"/>
      <c r="BT76" s="61"/>
    </row>
    <row r="77" ht="14.25" customHeight="1" spans="1:72" x14ac:dyDescent="0.25">
      <c r="A77" s="61">
        <f t="shared" si="0"/>
      </c>
      <c r="B77" s="61">
        <f t="array" ref="B77">IFERROR(INDEX('02_DS_Nhan_Viec'!$B:$B,MATCH(ROW()-1,'02_DS_Nhan_Viec'!$M:$M,0)),"")</f>
      </c>
      <c r="C77" s="61">
        <f t="array" ref="C77">IF($B77="","",IFERROR(INDEX('01_UngVien_PhongVan'!$D:$D,MATCH($B77,'01_UngVien_PhongVan'!$B:$B,0)),"Không tìm thấy mã ứng viên"))</f>
      </c>
      <c r="D77" s="61">
        <f t="array" ref="D77">IF($B77="","",IFERROR(INDEX('01_UngVien_PhongVan'!$R:$R,MATCH($B77,'01_UngVien_PhongVan'!$B:$B,0)),""))</f>
      </c>
      <c r="E77" s="61">
        <f t="array" ref="E77">IF($B77="","",IFERROR(INDEX('02_DS_Nhan_Viec'!$H:$H,MATCH($B77,'02_DS_Nhan_Viec'!$B:$B,0)),""))</f>
      </c>
      <c r="F77" s="68">
        <f t="array" ref="F77">IF($B77="","",IFERROR(INDEX('02_DS_Nhan_Viec'!$E:$E,MATCH($B77,'02_DS_Nhan_Viec'!$B:$B,0)),""))</f>
      </c>
      <c r="G77" s="68">
        <f t="shared" si="1"/>
      </c>
      <c r="H77" s="68">
        <f t="shared" si="2"/>
      </c>
      <c r="I77" s="68"/>
      <c r="J77" s="61"/>
      <c r="K77" s="61"/>
      <c r="L77" s="61"/>
      <c r="M77" s="61"/>
      <c r="N77" s="61"/>
      <c r="O77" s="61"/>
      <c r="P77" s="92"/>
      <c r="Q77" s="92"/>
      <c r="R77" s="93">
        <f t="shared" si="3"/>
      </c>
      <c r="S77" s="61"/>
      <c r="T77" s="61"/>
      <c r="U77" s="61"/>
      <c r="V77" s="61"/>
      <c r="W77" s="61">
        <f t="shared" si="4"/>
      </c>
      <c r="X77" s="94">
        <f t="shared" si="5"/>
      </c>
      <c r="Y77" s="94">
        <f t="shared" si="6"/>
      </c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95"/>
      <c r="AM77" s="61"/>
      <c r="AN77" s="61"/>
      <c r="AO77" s="68"/>
      <c r="AP77" s="61"/>
      <c r="AQ77" s="61"/>
      <c r="AR77" s="61"/>
      <c r="AS77" s="61"/>
      <c r="AT77" s="61"/>
      <c r="AU77" s="61"/>
      <c r="AV77" s="92"/>
      <c r="AW77" s="92"/>
      <c r="AX77" s="93">
        <f t="shared" si="7"/>
      </c>
      <c r="AY77" s="61"/>
      <c r="AZ77" s="61"/>
      <c r="BA77" s="61"/>
      <c r="BB77" s="61"/>
      <c r="BC77" s="61">
        <f t="shared" si="11"/>
      </c>
      <c r="BD77" s="94">
        <f t="shared" si="12"/>
      </c>
      <c r="BE77" s="94">
        <f t="shared" si="13"/>
      </c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95"/>
      <c r="BS77" s="61"/>
      <c r="BT77" s="61"/>
    </row>
    <row r="78" ht="14.25" customHeight="1" spans="1:72" x14ac:dyDescent="0.25">
      <c r="A78" s="61">
        <f t="shared" si="0"/>
      </c>
      <c r="B78" s="61">
        <f t="array" ref="B78">IFERROR(INDEX('02_DS_Nhan_Viec'!$B:$B,MATCH(ROW()-1,'02_DS_Nhan_Viec'!$M:$M,0)),"")</f>
      </c>
      <c r="C78" s="61">
        <f t="array" ref="C78">IF($B78="","",IFERROR(INDEX('01_UngVien_PhongVan'!$D:$D,MATCH($B78,'01_UngVien_PhongVan'!$B:$B,0)),"Không tìm thấy mã ứng viên"))</f>
      </c>
      <c r="D78" s="61">
        <f t="array" ref="D78">IF($B78="","",IFERROR(INDEX('01_UngVien_PhongVan'!$R:$R,MATCH($B78,'01_UngVien_PhongVan'!$B:$B,0)),""))</f>
      </c>
      <c r="E78" s="61">
        <f t="array" ref="E78">IF($B78="","",IFERROR(INDEX('02_DS_Nhan_Viec'!$H:$H,MATCH($B78,'02_DS_Nhan_Viec'!$B:$B,0)),""))</f>
      </c>
      <c r="F78" s="68">
        <f t="array" ref="F78">IF($B78="","",IFERROR(INDEX('02_DS_Nhan_Viec'!$E:$E,MATCH($B78,'02_DS_Nhan_Viec'!$B:$B,0)),""))</f>
      </c>
      <c r="G78" s="68">
        <f t="shared" si="1"/>
      </c>
      <c r="H78" s="68">
        <f t="shared" si="2"/>
      </c>
      <c r="I78" s="68"/>
      <c r="J78" s="61"/>
      <c r="K78" s="61"/>
      <c r="L78" s="61"/>
      <c r="M78" s="61"/>
      <c r="N78" s="61"/>
      <c r="O78" s="61"/>
      <c r="P78" s="92"/>
      <c r="Q78" s="92"/>
      <c r="R78" s="93">
        <f t="shared" si="3"/>
      </c>
      <c r="S78" s="61"/>
      <c r="T78" s="61"/>
      <c r="U78" s="61"/>
      <c r="V78" s="61"/>
      <c r="W78" s="61">
        <f t="shared" si="4"/>
      </c>
      <c r="X78" s="94">
        <f t="shared" si="5"/>
      </c>
      <c r="Y78" s="94">
        <f t="shared" si="6"/>
      </c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95"/>
      <c r="AM78" s="61"/>
      <c r="AN78" s="61"/>
      <c r="AO78" s="68"/>
      <c r="AP78" s="61"/>
      <c r="AQ78" s="61"/>
      <c r="AR78" s="61"/>
      <c r="AS78" s="61"/>
      <c r="AT78" s="61"/>
      <c r="AU78" s="61"/>
      <c r="AV78" s="92"/>
      <c r="AW78" s="92"/>
      <c r="AX78" s="93">
        <f t="shared" si="7"/>
      </c>
      <c r="AY78" s="61"/>
      <c r="AZ78" s="61"/>
      <c r="BA78" s="61"/>
      <c r="BB78" s="61"/>
      <c r="BC78" s="61">
        <f t="shared" si="11"/>
      </c>
      <c r="BD78" s="94">
        <f t="shared" si="12"/>
      </c>
      <c r="BE78" s="94">
        <f t="shared" si="13"/>
      </c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95"/>
      <c r="BS78" s="61"/>
      <c r="BT78" s="61"/>
    </row>
    <row r="79" ht="14.25" customHeight="1" spans="1:72" x14ac:dyDescent="0.25">
      <c r="A79" s="61">
        <f t="shared" si="0"/>
      </c>
      <c r="B79" s="61">
        <f t="array" ref="B79">IFERROR(INDEX('02_DS_Nhan_Viec'!$B:$B,MATCH(ROW()-1,'02_DS_Nhan_Viec'!$M:$M,0)),"")</f>
      </c>
      <c r="C79" s="61">
        <f t="array" ref="C79">IF($B79="","",IFERROR(INDEX('01_UngVien_PhongVan'!$D:$D,MATCH($B79,'01_UngVien_PhongVan'!$B:$B,0)),"Không tìm thấy mã ứng viên"))</f>
      </c>
      <c r="D79" s="61">
        <f t="array" ref="D79">IF($B79="","",IFERROR(INDEX('01_UngVien_PhongVan'!$R:$R,MATCH($B79,'01_UngVien_PhongVan'!$B:$B,0)),""))</f>
      </c>
      <c r="E79" s="61">
        <f t="array" ref="E79">IF($B79="","",IFERROR(INDEX('02_DS_Nhan_Viec'!$H:$H,MATCH($B79,'02_DS_Nhan_Viec'!$B:$B,0)),""))</f>
      </c>
      <c r="F79" s="68">
        <f t="array" ref="F79">IF($B79="","",IFERROR(INDEX('02_DS_Nhan_Viec'!$E:$E,MATCH($B79,'02_DS_Nhan_Viec'!$B:$B,0)),""))</f>
      </c>
      <c r="G79" s="68">
        <f t="shared" si="1"/>
      </c>
      <c r="H79" s="68">
        <f t="shared" si="2"/>
      </c>
      <c r="I79" s="68"/>
      <c r="J79" s="61"/>
      <c r="K79" s="61"/>
      <c r="L79" s="61"/>
      <c r="M79" s="61"/>
      <c r="N79" s="61"/>
      <c r="O79" s="61"/>
      <c r="P79" s="92"/>
      <c r="Q79" s="92"/>
      <c r="R79" s="93">
        <f t="shared" si="3"/>
      </c>
      <c r="S79" s="61"/>
      <c r="T79" s="61"/>
      <c r="U79" s="61"/>
      <c r="V79" s="61"/>
      <c r="W79" s="61">
        <f t="shared" si="4"/>
      </c>
      <c r="X79" s="94">
        <f t="shared" si="5"/>
      </c>
      <c r="Y79" s="94">
        <f t="shared" si="6"/>
      </c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95"/>
      <c r="AM79" s="61"/>
      <c r="AN79" s="61"/>
      <c r="AO79" s="68"/>
      <c r="AP79" s="61"/>
      <c r="AQ79" s="61"/>
      <c r="AR79" s="61"/>
      <c r="AS79" s="61"/>
      <c r="AT79" s="61"/>
      <c r="AU79" s="61"/>
      <c r="AV79" s="92"/>
      <c r="AW79" s="92"/>
      <c r="AX79" s="93">
        <f t="shared" si="7"/>
      </c>
      <c r="AY79" s="61"/>
      <c r="AZ79" s="61"/>
      <c r="BA79" s="61"/>
      <c r="BB79" s="61"/>
      <c r="BC79" s="61">
        <f t="shared" si="11"/>
      </c>
      <c r="BD79" s="94">
        <f t="shared" si="12"/>
      </c>
      <c r="BE79" s="94">
        <f t="shared" si="13"/>
      </c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95"/>
      <c r="BS79" s="61"/>
      <c r="BT79" s="61"/>
    </row>
    <row r="80" ht="14.25" customHeight="1" spans="1:72" x14ac:dyDescent="0.25">
      <c r="A80" s="61">
        <f t="shared" si="0"/>
      </c>
      <c r="B80" s="61">
        <f t="array" ref="B80">IFERROR(INDEX('02_DS_Nhan_Viec'!$B:$B,MATCH(ROW()-1,'02_DS_Nhan_Viec'!$M:$M,0)),"")</f>
      </c>
      <c r="C80" s="61">
        <f t="array" ref="C80">IF($B80="","",IFERROR(INDEX('01_UngVien_PhongVan'!$D:$D,MATCH($B80,'01_UngVien_PhongVan'!$B:$B,0)),"Không tìm thấy mã ứng viên"))</f>
      </c>
      <c r="D80" s="61">
        <f t="array" ref="D80">IF($B80="","",IFERROR(INDEX('01_UngVien_PhongVan'!$R:$R,MATCH($B80,'01_UngVien_PhongVan'!$B:$B,0)),""))</f>
      </c>
      <c r="E80" s="61">
        <f t="array" ref="E80">IF($B80="","",IFERROR(INDEX('02_DS_Nhan_Viec'!$H:$H,MATCH($B80,'02_DS_Nhan_Viec'!$B:$B,0)),""))</f>
      </c>
      <c r="F80" s="68">
        <f t="array" ref="F80">IF($B80="","",IFERROR(INDEX('02_DS_Nhan_Viec'!$E:$E,MATCH($B80,'02_DS_Nhan_Viec'!$B:$B,0)),""))</f>
      </c>
      <c r="G80" s="68">
        <f t="shared" si="1"/>
      </c>
      <c r="H80" s="68">
        <f t="shared" si="2"/>
      </c>
      <c r="I80" s="68"/>
      <c r="J80" s="61"/>
      <c r="K80" s="61"/>
      <c r="L80" s="61"/>
      <c r="M80" s="61"/>
      <c r="N80" s="61"/>
      <c r="O80" s="61"/>
      <c r="P80" s="92"/>
      <c r="Q80" s="92"/>
      <c r="R80" s="93">
        <f t="shared" si="3"/>
      </c>
      <c r="S80" s="61"/>
      <c r="T80" s="61"/>
      <c r="U80" s="61"/>
      <c r="V80" s="61"/>
      <c r="W80" s="61">
        <f t="shared" si="4"/>
      </c>
      <c r="X80" s="94">
        <f t="shared" si="5"/>
      </c>
      <c r="Y80" s="94">
        <f t="shared" si="6"/>
      </c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95"/>
      <c r="AM80" s="61"/>
      <c r="AN80" s="61"/>
      <c r="AO80" s="68"/>
      <c r="AP80" s="61"/>
      <c r="AQ80" s="61"/>
      <c r="AR80" s="61"/>
      <c r="AS80" s="61"/>
      <c r="AT80" s="61"/>
      <c r="AU80" s="61"/>
      <c r="AV80" s="92"/>
      <c r="AW80" s="92"/>
      <c r="AX80" s="93">
        <f t="shared" si="7"/>
      </c>
      <c r="AY80" s="61"/>
      <c r="AZ80" s="61"/>
      <c r="BA80" s="61"/>
      <c r="BB80" s="61"/>
      <c r="BC80" s="61">
        <f t="shared" si="11"/>
      </c>
      <c r="BD80" s="94">
        <f t="shared" si="12"/>
      </c>
      <c r="BE80" s="94">
        <f t="shared" si="13"/>
      </c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95"/>
      <c r="BS80" s="61"/>
      <c r="BT80" s="61"/>
    </row>
    <row r="81" ht="14.25" customHeight="1" spans="1:72" x14ac:dyDescent="0.25">
      <c r="A81" s="61">
        <f t="shared" si="0"/>
      </c>
      <c r="B81" s="61">
        <f t="array" ref="B81">IFERROR(INDEX('02_DS_Nhan_Viec'!$B:$B,MATCH(ROW()-1,'02_DS_Nhan_Viec'!$M:$M,0)),"")</f>
      </c>
      <c r="C81" s="61">
        <f t="array" ref="C81">IF($B81="","",IFERROR(INDEX('01_UngVien_PhongVan'!$D:$D,MATCH($B81,'01_UngVien_PhongVan'!$B:$B,0)),"Không tìm thấy mã ứng viên"))</f>
      </c>
      <c r="D81" s="61">
        <f t="array" ref="D81">IF($B81="","",IFERROR(INDEX('01_UngVien_PhongVan'!$R:$R,MATCH($B81,'01_UngVien_PhongVan'!$B:$B,0)),""))</f>
      </c>
      <c r="E81" s="61">
        <f t="array" ref="E81">IF($B81="","",IFERROR(INDEX('02_DS_Nhan_Viec'!$H:$H,MATCH($B81,'02_DS_Nhan_Viec'!$B:$B,0)),""))</f>
      </c>
      <c r="F81" s="68">
        <f t="array" ref="F81">IF($B81="","",IFERROR(INDEX('02_DS_Nhan_Viec'!$E:$E,MATCH($B81,'02_DS_Nhan_Viec'!$B:$B,0)),""))</f>
      </c>
      <c r="G81" s="68">
        <f t="shared" si="1"/>
      </c>
      <c r="H81" s="68">
        <f t="shared" si="2"/>
      </c>
      <c r="I81" s="68"/>
      <c r="J81" s="61"/>
      <c r="K81" s="61"/>
      <c r="L81" s="61"/>
      <c r="M81" s="61"/>
      <c r="N81" s="61"/>
      <c r="O81" s="61"/>
      <c r="P81" s="92"/>
      <c r="Q81" s="92"/>
      <c r="R81" s="93">
        <f t="shared" si="3"/>
      </c>
      <c r="S81" s="61"/>
      <c r="T81" s="61"/>
      <c r="U81" s="61"/>
      <c r="V81" s="61"/>
      <c r="W81" s="61">
        <f t="shared" si="4"/>
      </c>
      <c r="X81" s="94">
        <f t="shared" si="5"/>
      </c>
      <c r="Y81" s="94">
        <f t="shared" si="6"/>
      </c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95"/>
      <c r="AM81" s="61"/>
      <c r="AN81" s="61"/>
      <c r="AO81" s="68"/>
      <c r="AP81" s="61"/>
      <c r="AQ81" s="61"/>
      <c r="AR81" s="61"/>
      <c r="AS81" s="61"/>
      <c r="AT81" s="61"/>
      <c r="AU81" s="61"/>
      <c r="AV81" s="92"/>
      <c r="AW81" s="92"/>
      <c r="AX81" s="93">
        <f t="shared" si="7"/>
      </c>
      <c r="AY81" s="61"/>
      <c r="AZ81" s="61"/>
      <c r="BA81" s="61"/>
      <c r="BB81" s="61"/>
      <c r="BC81" s="61">
        <f t="shared" si="11"/>
      </c>
      <c r="BD81" s="94">
        <f t="shared" si="12"/>
      </c>
      <c r="BE81" s="94">
        <f t="shared" si="13"/>
      </c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95"/>
      <c r="BS81" s="61"/>
      <c r="BT81" s="61"/>
    </row>
    <row r="82" ht="14.25" customHeight="1" spans="1:72" x14ac:dyDescent="0.25">
      <c r="A82" s="61">
        <f t="shared" si="0"/>
      </c>
      <c r="B82" s="61">
        <f t="array" ref="B82">IFERROR(INDEX('02_DS_Nhan_Viec'!$B:$B,MATCH(ROW()-1,'02_DS_Nhan_Viec'!$M:$M,0)),"")</f>
      </c>
      <c r="C82" s="61">
        <f t="array" ref="C82">IF($B82="","",IFERROR(INDEX('01_UngVien_PhongVan'!$D:$D,MATCH($B82,'01_UngVien_PhongVan'!$B:$B,0)),"Không tìm thấy mã ứng viên"))</f>
      </c>
      <c r="D82" s="61">
        <f t="array" ref="D82">IF($B82="","",IFERROR(INDEX('01_UngVien_PhongVan'!$R:$R,MATCH($B82,'01_UngVien_PhongVan'!$B:$B,0)),""))</f>
      </c>
      <c r="E82" s="61">
        <f t="array" ref="E82">IF($B82="","",IFERROR(INDEX('02_DS_Nhan_Viec'!$H:$H,MATCH($B82,'02_DS_Nhan_Viec'!$B:$B,0)),""))</f>
      </c>
      <c r="F82" s="68">
        <f t="array" ref="F82">IF($B82="","",IFERROR(INDEX('02_DS_Nhan_Viec'!$E:$E,MATCH($B82,'02_DS_Nhan_Viec'!$B:$B,0)),""))</f>
      </c>
      <c r="G82" s="68">
        <f t="shared" si="1"/>
      </c>
      <c r="H82" s="68">
        <f t="shared" si="2"/>
      </c>
      <c r="I82" s="68"/>
      <c r="J82" s="61"/>
      <c r="K82" s="61"/>
      <c r="L82" s="61"/>
      <c r="M82" s="61"/>
      <c r="N82" s="61"/>
      <c r="O82" s="61"/>
      <c r="P82" s="92"/>
      <c r="Q82" s="92"/>
      <c r="R82" s="93">
        <f t="shared" si="3"/>
      </c>
      <c r="S82" s="61"/>
      <c r="T82" s="61"/>
      <c r="U82" s="61"/>
      <c r="V82" s="61"/>
      <c r="W82" s="61">
        <f t="shared" si="4"/>
      </c>
      <c r="X82" s="94">
        <f t="shared" si="5"/>
      </c>
      <c r="Y82" s="94">
        <f t="shared" si="6"/>
      </c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95"/>
      <c r="AM82" s="61"/>
      <c r="AN82" s="61"/>
      <c r="AO82" s="68"/>
      <c r="AP82" s="61"/>
      <c r="AQ82" s="61"/>
      <c r="AR82" s="61"/>
      <c r="AS82" s="61"/>
      <c r="AT82" s="61"/>
      <c r="AU82" s="61"/>
      <c r="AV82" s="92"/>
      <c r="AW82" s="92"/>
      <c r="AX82" s="93">
        <f t="shared" si="7"/>
      </c>
      <c r="AY82" s="61"/>
      <c r="AZ82" s="61"/>
      <c r="BA82" s="61"/>
      <c r="BB82" s="61"/>
      <c r="BC82" s="61">
        <f t="shared" si="11"/>
      </c>
      <c r="BD82" s="94">
        <f t="shared" si="12"/>
      </c>
      <c r="BE82" s="94">
        <f t="shared" si="13"/>
      </c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95"/>
      <c r="BS82" s="61"/>
      <c r="BT82" s="61"/>
    </row>
    <row r="83" ht="14.25" customHeight="1" spans="1:72" x14ac:dyDescent="0.25">
      <c r="A83" s="61">
        <f t="shared" si="0"/>
      </c>
      <c r="B83" s="61">
        <f t="array" ref="B83">IFERROR(INDEX('02_DS_Nhan_Viec'!$B:$B,MATCH(ROW()-1,'02_DS_Nhan_Viec'!$M:$M,0)),"")</f>
      </c>
      <c r="C83" s="61">
        <f t="array" ref="C83">IF($B83="","",IFERROR(INDEX('01_UngVien_PhongVan'!$D:$D,MATCH($B83,'01_UngVien_PhongVan'!$B:$B,0)),"Không tìm thấy mã ứng viên"))</f>
      </c>
      <c r="D83" s="61">
        <f t="array" ref="D83">IF($B83="","",IFERROR(INDEX('01_UngVien_PhongVan'!$R:$R,MATCH($B83,'01_UngVien_PhongVan'!$B:$B,0)),""))</f>
      </c>
      <c r="E83" s="61">
        <f t="array" ref="E83">IF($B83="","",IFERROR(INDEX('02_DS_Nhan_Viec'!$H:$H,MATCH($B83,'02_DS_Nhan_Viec'!$B:$B,0)),""))</f>
      </c>
      <c r="F83" s="68">
        <f t="array" ref="F83">IF($B83="","",IFERROR(INDEX('02_DS_Nhan_Viec'!$E:$E,MATCH($B83,'02_DS_Nhan_Viec'!$B:$B,0)),""))</f>
      </c>
      <c r="G83" s="68">
        <f t="shared" si="1"/>
      </c>
      <c r="H83" s="68">
        <f t="shared" si="2"/>
      </c>
      <c r="I83" s="68"/>
      <c r="J83" s="61"/>
      <c r="K83" s="61"/>
      <c r="L83" s="61"/>
      <c r="M83" s="61"/>
      <c r="N83" s="61"/>
      <c r="O83" s="61"/>
      <c r="P83" s="92"/>
      <c r="Q83" s="92"/>
      <c r="R83" s="93">
        <f t="shared" si="3"/>
      </c>
      <c r="S83" s="61"/>
      <c r="T83" s="61"/>
      <c r="U83" s="61"/>
      <c r="V83" s="61"/>
      <c r="W83" s="61">
        <f t="shared" si="4"/>
      </c>
      <c r="X83" s="94">
        <f t="shared" si="5"/>
      </c>
      <c r="Y83" s="94">
        <f t="shared" si="6"/>
      </c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95"/>
      <c r="AM83" s="61"/>
      <c r="AN83" s="61"/>
      <c r="AO83" s="68"/>
      <c r="AP83" s="61"/>
      <c r="AQ83" s="61"/>
      <c r="AR83" s="61"/>
      <c r="AS83" s="61"/>
      <c r="AT83" s="61"/>
      <c r="AU83" s="61"/>
      <c r="AV83" s="92"/>
      <c r="AW83" s="92"/>
      <c r="AX83" s="93">
        <f t="shared" si="7"/>
      </c>
      <c r="AY83" s="61"/>
      <c r="AZ83" s="61"/>
      <c r="BA83" s="61"/>
      <c r="BB83" s="61"/>
      <c r="BC83" s="61">
        <f t="shared" si="11"/>
      </c>
      <c r="BD83" s="94">
        <f t="shared" si="12"/>
      </c>
      <c r="BE83" s="94">
        <f t="shared" si="13"/>
      </c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95"/>
      <c r="BS83" s="61"/>
      <c r="BT83" s="61"/>
    </row>
    <row r="84" ht="14.25" customHeight="1" spans="1:72" x14ac:dyDescent="0.25">
      <c r="A84" s="61">
        <f t="shared" si="0"/>
      </c>
      <c r="B84" s="61">
        <f t="array" ref="B84">IFERROR(INDEX('02_DS_Nhan_Viec'!$B:$B,MATCH(ROW()-1,'02_DS_Nhan_Viec'!$M:$M,0)),"")</f>
      </c>
      <c r="C84" s="61">
        <f t="array" ref="C84">IF($B84="","",IFERROR(INDEX('01_UngVien_PhongVan'!$D:$D,MATCH($B84,'01_UngVien_PhongVan'!$B:$B,0)),"Không tìm thấy mã ứng viên"))</f>
      </c>
      <c r="D84" s="61">
        <f t="array" ref="D84">IF($B84="","",IFERROR(INDEX('01_UngVien_PhongVan'!$R:$R,MATCH($B84,'01_UngVien_PhongVan'!$B:$B,0)),""))</f>
      </c>
      <c r="E84" s="61">
        <f t="array" ref="E84">IF($B84="","",IFERROR(INDEX('02_DS_Nhan_Viec'!$H:$H,MATCH($B84,'02_DS_Nhan_Viec'!$B:$B,0)),""))</f>
      </c>
      <c r="F84" s="68">
        <f t="array" ref="F84">IF($B84="","",IFERROR(INDEX('02_DS_Nhan_Viec'!$E:$E,MATCH($B84,'02_DS_Nhan_Viec'!$B:$B,0)),""))</f>
      </c>
      <c r="G84" s="68">
        <f t="shared" si="1"/>
      </c>
      <c r="H84" s="68">
        <f t="shared" si="2"/>
      </c>
      <c r="I84" s="68"/>
      <c r="J84" s="61"/>
      <c r="K84" s="61"/>
      <c r="L84" s="61"/>
      <c r="M84" s="61"/>
      <c r="N84" s="61"/>
      <c r="O84" s="61"/>
      <c r="P84" s="92"/>
      <c r="Q84" s="92"/>
      <c r="R84" s="93">
        <f t="shared" si="3"/>
      </c>
      <c r="S84" s="61"/>
      <c r="T84" s="61"/>
      <c r="U84" s="61"/>
      <c r="V84" s="61"/>
      <c r="W84" s="61">
        <f t="shared" si="4"/>
      </c>
      <c r="X84" s="94">
        <f t="shared" si="5"/>
      </c>
      <c r="Y84" s="94">
        <f t="shared" si="6"/>
      </c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95"/>
      <c r="AM84" s="61"/>
      <c r="AN84" s="61"/>
      <c r="AO84" s="68"/>
      <c r="AP84" s="61"/>
      <c r="AQ84" s="61"/>
      <c r="AR84" s="61"/>
      <c r="AS84" s="61"/>
      <c r="AT84" s="61"/>
      <c r="AU84" s="61"/>
      <c r="AV84" s="92"/>
      <c r="AW84" s="92"/>
      <c r="AX84" s="93">
        <f t="shared" si="7"/>
      </c>
      <c r="AY84" s="61"/>
      <c r="AZ84" s="61"/>
      <c r="BA84" s="61"/>
      <c r="BB84" s="61"/>
      <c r="BC84" s="61">
        <f t="shared" si="11"/>
      </c>
      <c r="BD84" s="94">
        <f t="shared" si="12"/>
      </c>
      <c r="BE84" s="94">
        <f t="shared" si="13"/>
      </c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95"/>
      <c r="BS84" s="61"/>
      <c r="BT84" s="61"/>
    </row>
    <row r="85" ht="14.25" customHeight="1" spans="1:72" x14ac:dyDescent="0.25">
      <c r="A85" s="61">
        <f t="shared" si="0"/>
      </c>
      <c r="B85" s="61">
        <f t="array" ref="B85">IFERROR(INDEX('02_DS_Nhan_Viec'!$B:$B,MATCH(ROW()-1,'02_DS_Nhan_Viec'!$M:$M,0)),"")</f>
      </c>
      <c r="C85" s="61">
        <f t="array" ref="C85">IF($B85="","",IFERROR(INDEX('01_UngVien_PhongVan'!$D:$D,MATCH($B85,'01_UngVien_PhongVan'!$B:$B,0)),"Không tìm thấy mã ứng viên"))</f>
      </c>
      <c r="D85" s="61">
        <f t="array" ref="D85">IF($B85="","",IFERROR(INDEX('01_UngVien_PhongVan'!$R:$R,MATCH($B85,'01_UngVien_PhongVan'!$B:$B,0)),""))</f>
      </c>
      <c r="E85" s="61">
        <f t="array" ref="E85">IF($B85="","",IFERROR(INDEX('02_DS_Nhan_Viec'!$H:$H,MATCH($B85,'02_DS_Nhan_Viec'!$B:$B,0)),""))</f>
      </c>
      <c r="F85" s="68">
        <f t="array" ref="F85">IF($B85="","",IFERROR(INDEX('02_DS_Nhan_Viec'!$E:$E,MATCH($B85,'02_DS_Nhan_Viec'!$B:$B,0)),""))</f>
      </c>
      <c r="G85" s="68">
        <f t="shared" si="1"/>
      </c>
      <c r="H85" s="68">
        <f t="shared" si="2"/>
      </c>
      <c r="I85" s="68"/>
      <c r="J85" s="61"/>
      <c r="K85" s="61"/>
      <c r="L85" s="61"/>
      <c r="M85" s="61"/>
      <c r="N85" s="61"/>
      <c r="O85" s="61"/>
      <c r="P85" s="92"/>
      <c r="Q85" s="92"/>
      <c r="R85" s="93">
        <f t="shared" si="3"/>
      </c>
      <c r="S85" s="61"/>
      <c r="T85" s="61"/>
      <c r="U85" s="61"/>
      <c r="V85" s="61"/>
      <c r="W85" s="61">
        <f t="shared" si="4"/>
      </c>
      <c r="X85" s="94">
        <f t="shared" si="5"/>
      </c>
      <c r="Y85" s="94">
        <f t="shared" si="6"/>
      </c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95"/>
      <c r="AM85" s="61"/>
      <c r="AN85" s="61"/>
      <c r="AO85" s="68"/>
      <c r="AP85" s="61"/>
      <c r="AQ85" s="61"/>
      <c r="AR85" s="61"/>
      <c r="AS85" s="61"/>
      <c r="AT85" s="61"/>
      <c r="AU85" s="61"/>
      <c r="AV85" s="92"/>
      <c r="AW85" s="92"/>
      <c r="AX85" s="93">
        <f t="shared" si="7"/>
      </c>
      <c r="AY85" s="61"/>
      <c r="AZ85" s="61"/>
      <c r="BA85" s="61"/>
      <c r="BB85" s="61"/>
      <c r="BC85" s="61">
        <f t="shared" si="11"/>
      </c>
      <c r="BD85" s="94">
        <f t="shared" si="12"/>
      </c>
      <c r="BE85" s="94">
        <f t="shared" si="13"/>
      </c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95"/>
      <c r="BS85" s="61"/>
      <c r="BT85" s="61"/>
    </row>
    <row r="86" ht="14.25" customHeight="1" spans="1:72" x14ac:dyDescent="0.25">
      <c r="A86" s="61">
        <f t="shared" si="0"/>
      </c>
      <c r="B86" s="61">
        <f t="array" ref="B86">IFERROR(INDEX('02_DS_Nhan_Viec'!$B:$B,MATCH(ROW()-1,'02_DS_Nhan_Viec'!$M:$M,0)),"")</f>
      </c>
      <c r="C86" s="61">
        <f t="array" ref="C86">IF($B86="","",IFERROR(INDEX('01_UngVien_PhongVan'!$D:$D,MATCH($B86,'01_UngVien_PhongVan'!$B:$B,0)),"Không tìm thấy mã ứng viên"))</f>
      </c>
      <c r="D86" s="61">
        <f t="array" ref="D86">IF($B86="","",IFERROR(INDEX('01_UngVien_PhongVan'!$R:$R,MATCH($B86,'01_UngVien_PhongVan'!$B:$B,0)),""))</f>
      </c>
      <c r="E86" s="61">
        <f t="array" ref="E86">IF($B86="","",IFERROR(INDEX('02_DS_Nhan_Viec'!$H:$H,MATCH($B86,'02_DS_Nhan_Viec'!$B:$B,0)),""))</f>
      </c>
      <c r="F86" s="68">
        <f t="array" ref="F86">IF($B86="","",IFERROR(INDEX('02_DS_Nhan_Viec'!$E:$E,MATCH($B86,'02_DS_Nhan_Viec'!$B:$B,0)),""))</f>
      </c>
      <c r="G86" s="68">
        <f t="shared" si="1"/>
      </c>
      <c r="H86" s="68">
        <f t="shared" si="2"/>
      </c>
      <c r="I86" s="68"/>
      <c r="J86" s="61"/>
      <c r="K86" s="61"/>
      <c r="L86" s="61"/>
      <c r="M86" s="61"/>
      <c r="N86" s="61"/>
      <c r="O86" s="61"/>
      <c r="P86" s="92"/>
      <c r="Q86" s="92"/>
      <c r="R86" s="93">
        <f t="shared" si="3"/>
      </c>
      <c r="S86" s="61"/>
      <c r="T86" s="61"/>
      <c r="U86" s="61"/>
      <c r="V86" s="61"/>
      <c r="W86" s="61">
        <f t="shared" si="4"/>
      </c>
      <c r="X86" s="94">
        <f t="shared" si="5"/>
      </c>
      <c r="Y86" s="94">
        <f t="shared" si="6"/>
      </c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95"/>
      <c r="AM86" s="61"/>
      <c r="AN86" s="61"/>
      <c r="AO86" s="68"/>
      <c r="AP86" s="61"/>
      <c r="AQ86" s="61"/>
      <c r="AR86" s="61"/>
      <c r="AS86" s="61"/>
      <c r="AT86" s="61"/>
      <c r="AU86" s="61"/>
      <c r="AV86" s="92"/>
      <c r="AW86" s="92"/>
      <c r="AX86" s="93">
        <f t="shared" si="7"/>
      </c>
      <c r="AY86" s="61"/>
      <c r="AZ86" s="61"/>
      <c r="BA86" s="61"/>
      <c r="BB86" s="61"/>
      <c r="BC86" s="61">
        <f t="shared" si="11"/>
      </c>
      <c r="BD86" s="94">
        <f t="shared" si="12"/>
      </c>
      <c r="BE86" s="94">
        <f t="shared" si="13"/>
      </c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95"/>
      <c r="BS86" s="61"/>
      <c r="BT86" s="61"/>
    </row>
    <row r="87" ht="14.25" customHeight="1" spans="1:72" x14ac:dyDescent="0.25">
      <c r="A87" s="61">
        <f t="shared" si="0"/>
      </c>
      <c r="B87" s="61">
        <f t="array" ref="B87">IFERROR(INDEX('02_DS_Nhan_Viec'!$B:$B,MATCH(ROW()-1,'02_DS_Nhan_Viec'!$M:$M,0)),"")</f>
      </c>
      <c r="C87" s="61">
        <f t="array" ref="C87">IF($B87="","",IFERROR(INDEX('01_UngVien_PhongVan'!$D:$D,MATCH($B87,'01_UngVien_PhongVan'!$B:$B,0)),"Không tìm thấy mã ứng viên"))</f>
      </c>
      <c r="D87" s="61">
        <f t="array" ref="D87">IF($B87="","",IFERROR(INDEX('01_UngVien_PhongVan'!$R:$R,MATCH($B87,'01_UngVien_PhongVan'!$B:$B,0)),""))</f>
      </c>
      <c r="E87" s="61">
        <f t="array" ref="E87">IF($B87="","",IFERROR(INDEX('02_DS_Nhan_Viec'!$H:$H,MATCH($B87,'02_DS_Nhan_Viec'!$B:$B,0)),""))</f>
      </c>
      <c r="F87" s="68">
        <f t="array" ref="F87">IF($B87="","",IFERROR(INDEX('02_DS_Nhan_Viec'!$E:$E,MATCH($B87,'02_DS_Nhan_Viec'!$B:$B,0)),""))</f>
      </c>
      <c r="G87" s="68">
        <f t="shared" si="1"/>
      </c>
      <c r="H87" s="68">
        <f t="shared" si="2"/>
      </c>
      <c r="I87" s="68"/>
      <c r="J87" s="61"/>
      <c r="K87" s="61"/>
      <c r="L87" s="61"/>
      <c r="M87" s="61"/>
      <c r="N87" s="61"/>
      <c r="O87" s="61"/>
      <c r="P87" s="92"/>
      <c r="Q87" s="92"/>
      <c r="R87" s="93">
        <f t="shared" si="3"/>
      </c>
      <c r="S87" s="61"/>
      <c r="T87" s="61"/>
      <c r="U87" s="61"/>
      <c r="V87" s="61"/>
      <c r="W87" s="61">
        <f t="shared" si="4"/>
      </c>
      <c r="X87" s="94">
        <f t="shared" si="5"/>
      </c>
      <c r="Y87" s="94">
        <f t="shared" si="6"/>
      </c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95"/>
      <c r="AM87" s="61"/>
      <c r="AN87" s="61"/>
      <c r="AO87" s="68"/>
      <c r="AP87" s="61"/>
      <c r="AQ87" s="61"/>
      <c r="AR87" s="61"/>
      <c r="AS87" s="61"/>
      <c r="AT87" s="61"/>
      <c r="AU87" s="61"/>
      <c r="AV87" s="92"/>
      <c r="AW87" s="92"/>
      <c r="AX87" s="93">
        <f t="shared" si="7"/>
      </c>
      <c r="AY87" s="61"/>
      <c r="AZ87" s="61"/>
      <c r="BA87" s="61"/>
      <c r="BB87" s="61"/>
      <c r="BC87" s="61">
        <f t="shared" si="11"/>
      </c>
      <c r="BD87" s="94">
        <f t="shared" si="12"/>
      </c>
      <c r="BE87" s="94">
        <f t="shared" si="13"/>
      </c>
      <c r="BF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95"/>
      <c r="BS87" s="61"/>
      <c r="BT87" s="61"/>
    </row>
    <row r="88" ht="14.25" customHeight="1" spans="1:72" x14ac:dyDescent="0.25">
      <c r="A88" s="61">
        <f t="shared" si="0"/>
      </c>
      <c r="B88" s="61">
        <f t="array" ref="B88">IFERROR(INDEX('02_DS_Nhan_Viec'!$B:$B,MATCH(ROW()-1,'02_DS_Nhan_Viec'!$M:$M,0)),"")</f>
      </c>
      <c r="C88" s="61">
        <f t="array" ref="C88">IF($B88="","",IFERROR(INDEX('01_UngVien_PhongVan'!$D:$D,MATCH($B88,'01_UngVien_PhongVan'!$B:$B,0)),"Không tìm thấy mã ứng viên"))</f>
      </c>
      <c r="D88" s="61">
        <f t="array" ref="D88">IF($B88="","",IFERROR(INDEX('01_UngVien_PhongVan'!$R:$R,MATCH($B88,'01_UngVien_PhongVan'!$B:$B,0)),""))</f>
      </c>
      <c r="E88" s="61">
        <f t="array" ref="E88">IF($B88="","",IFERROR(INDEX('02_DS_Nhan_Viec'!$H:$H,MATCH($B88,'02_DS_Nhan_Viec'!$B:$B,0)),""))</f>
      </c>
      <c r="F88" s="68">
        <f t="array" ref="F88">IF($B88="","",IFERROR(INDEX('02_DS_Nhan_Viec'!$E:$E,MATCH($B88,'02_DS_Nhan_Viec'!$B:$B,0)),""))</f>
      </c>
      <c r="G88" s="68">
        <f t="shared" si="1"/>
      </c>
      <c r="H88" s="68">
        <f t="shared" si="2"/>
      </c>
      <c r="I88" s="68"/>
      <c r="J88" s="61"/>
      <c r="K88" s="61"/>
      <c r="L88" s="61"/>
      <c r="M88" s="61"/>
      <c r="N88" s="61"/>
      <c r="O88" s="61"/>
      <c r="P88" s="92"/>
      <c r="Q88" s="92"/>
      <c r="R88" s="93">
        <f t="shared" si="3"/>
      </c>
      <c r="S88" s="61"/>
      <c r="T88" s="61"/>
      <c r="U88" s="61"/>
      <c r="V88" s="61"/>
      <c r="W88" s="61">
        <f t="shared" si="4"/>
      </c>
      <c r="X88" s="94">
        <f t="shared" si="5"/>
      </c>
      <c r="Y88" s="94">
        <f t="shared" si="6"/>
      </c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95"/>
      <c r="AM88" s="61"/>
      <c r="AN88" s="61"/>
      <c r="AO88" s="68"/>
      <c r="AP88" s="61"/>
      <c r="AQ88" s="61"/>
      <c r="AR88" s="61"/>
      <c r="AS88" s="61"/>
      <c r="AT88" s="61"/>
      <c r="AU88" s="61"/>
      <c r="AV88" s="92"/>
      <c r="AW88" s="92"/>
      <c r="AX88" s="93">
        <f t="shared" si="7"/>
      </c>
      <c r="AY88" s="61"/>
      <c r="AZ88" s="61"/>
      <c r="BA88" s="61"/>
      <c r="BB88" s="61"/>
      <c r="BC88" s="61">
        <f t="shared" si="11"/>
      </c>
      <c r="BD88" s="94">
        <f t="shared" si="12"/>
      </c>
      <c r="BE88" s="94">
        <f t="shared" si="13"/>
      </c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95"/>
      <c r="BS88" s="61"/>
      <c r="BT88" s="61"/>
    </row>
    <row r="89" ht="14.25" customHeight="1" spans="1:72" x14ac:dyDescent="0.25">
      <c r="A89" s="61">
        <f t="shared" si="0"/>
      </c>
      <c r="B89" s="61">
        <f t="array" ref="B89">IFERROR(INDEX('02_DS_Nhan_Viec'!$B:$B,MATCH(ROW()-1,'02_DS_Nhan_Viec'!$M:$M,0)),"")</f>
      </c>
      <c r="C89" s="61">
        <f t="array" ref="C89">IF($B89="","",IFERROR(INDEX('01_UngVien_PhongVan'!$D:$D,MATCH($B89,'01_UngVien_PhongVan'!$B:$B,0)),"Không tìm thấy mã ứng viên"))</f>
      </c>
      <c r="D89" s="61">
        <f t="array" ref="D89">IF($B89="","",IFERROR(INDEX('01_UngVien_PhongVan'!$R:$R,MATCH($B89,'01_UngVien_PhongVan'!$B:$B,0)),""))</f>
      </c>
      <c r="E89" s="61">
        <f t="array" ref="E89">IF($B89="","",IFERROR(INDEX('02_DS_Nhan_Viec'!$H:$H,MATCH($B89,'02_DS_Nhan_Viec'!$B:$B,0)),""))</f>
      </c>
      <c r="F89" s="68">
        <f t="array" ref="F89">IF($B89="","",IFERROR(INDEX('02_DS_Nhan_Viec'!$E:$E,MATCH($B89,'02_DS_Nhan_Viec'!$B:$B,0)),""))</f>
      </c>
      <c r="G89" s="68">
        <f t="shared" si="1"/>
      </c>
      <c r="H89" s="68">
        <f t="shared" si="2"/>
      </c>
      <c r="I89" s="68"/>
      <c r="J89" s="61"/>
      <c r="K89" s="61"/>
      <c r="L89" s="61"/>
      <c r="M89" s="61"/>
      <c r="N89" s="61"/>
      <c r="O89" s="61"/>
      <c r="P89" s="92"/>
      <c r="Q89" s="92"/>
      <c r="R89" s="93">
        <f t="shared" si="3"/>
      </c>
      <c r="S89" s="61"/>
      <c r="T89" s="61"/>
      <c r="U89" s="61"/>
      <c r="V89" s="61"/>
      <c r="W89" s="61">
        <f t="shared" si="4"/>
      </c>
      <c r="X89" s="94">
        <f t="shared" si="5"/>
      </c>
      <c r="Y89" s="94">
        <f t="shared" si="6"/>
      </c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95"/>
      <c r="AM89" s="61"/>
      <c r="AN89" s="61"/>
      <c r="AO89" s="68"/>
      <c r="AP89" s="61"/>
      <c r="AQ89" s="61"/>
      <c r="AR89" s="61"/>
      <c r="AS89" s="61"/>
      <c r="AT89" s="61"/>
      <c r="AU89" s="61"/>
      <c r="AV89" s="92"/>
      <c r="AW89" s="92"/>
      <c r="AX89" s="93">
        <f t="shared" si="7"/>
      </c>
      <c r="AY89" s="61"/>
      <c r="AZ89" s="61"/>
      <c r="BA89" s="61"/>
      <c r="BB89" s="61"/>
      <c r="BC89" s="61">
        <f t="shared" si="11"/>
      </c>
      <c r="BD89" s="94">
        <f t="shared" si="12"/>
      </c>
      <c r="BE89" s="94">
        <f t="shared" si="13"/>
      </c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95"/>
      <c r="BS89" s="61"/>
      <c r="BT89" s="61"/>
    </row>
    <row r="90" ht="14.25" customHeight="1" spans="1:72" x14ac:dyDescent="0.25">
      <c r="A90" s="61">
        <f t="shared" si="0"/>
      </c>
      <c r="B90" s="61">
        <f t="array" ref="B90">IFERROR(INDEX('02_DS_Nhan_Viec'!$B:$B,MATCH(ROW()-1,'02_DS_Nhan_Viec'!$M:$M,0)),"")</f>
      </c>
      <c r="C90" s="61">
        <f t="array" ref="C90">IF($B90="","",IFERROR(INDEX('01_UngVien_PhongVan'!$D:$D,MATCH($B90,'01_UngVien_PhongVan'!$B:$B,0)),"Không tìm thấy mã ứng viên"))</f>
      </c>
      <c r="D90" s="61">
        <f t="array" ref="D90">IF($B90="","",IFERROR(INDEX('01_UngVien_PhongVan'!$R:$R,MATCH($B90,'01_UngVien_PhongVan'!$B:$B,0)),""))</f>
      </c>
      <c r="E90" s="61">
        <f t="array" ref="E90">IF($B90="","",IFERROR(INDEX('02_DS_Nhan_Viec'!$H:$H,MATCH($B90,'02_DS_Nhan_Viec'!$B:$B,0)),""))</f>
      </c>
      <c r="F90" s="68">
        <f t="array" ref="F90">IF($B90="","",IFERROR(INDEX('02_DS_Nhan_Viec'!$E:$E,MATCH($B90,'02_DS_Nhan_Viec'!$B:$B,0)),""))</f>
      </c>
      <c r="G90" s="68">
        <f t="shared" si="1"/>
      </c>
      <c r="H90" s="68">
        <f t="shared" si="2"/>
      </c>
      <c r="I90" s="68"/>
      <c r="J90" s="61"/>
      <c r="K90" s="61"/>
      <c r="L90" s="61"/>
      <c r="M90" s="61"/>
      <c r="N90" s="61"/>
      <c r="O90" s="61"/>
      <c r="P90" s="92"/>
      <c r="Q90" s="92"/>
      <c r="R90" s="93">
        <f t="shared" si="3"/>
      </c>
      <c r="S90" s="61"/>
      <c r="T90" s="61"/>
      <c r="U90" s="61"/>
      <c r="V90" s="61"/>
      <c r="W90" s="61">
        <f t="shared" si="4"/>
      </c>
      <c r="X90" s="94">
        <f t="shared" si="5"/>
      </c>
      <c r="Y90" s="94">
        <f t="shared" si="6"/>
      </c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95"/>
      <c r="AM90" s="61"/>
      <c r="AN90" s="61"/>
      <c r="AO90" s="68"/>
      <c r="AP90" s="61"/>
      <c r="AQ90" s="61"/>
      <c r="AR90" s="61"/>
      <c r="AS90" s="61"/>
      <c r="AT90" s="61"/>
      <c r="AU90" s="61"/>
      <c r="AV90" s="92"/>
      <c r="AW90" s="92"/>
      <c r="AX90" s="93">
        <f t="shared" si="7"/>
      </c>
      <c r="AY90" s="61"/>
      <c r="AZ90" s="61"/>
      <c r="BA90" s="61"/>
      <c r="BB90" s="61"/>
      <c r="BC90" s="61">
        <f t="shared" si="11"/>
      </c>
      <c r="BD90" s="94">
        <f t="shared" si="12"/>
      </c>
      <c r="BE90" s="94">
        <f t="shared" si="13"/>
      </c>
      <c r="BF90" s="61"/>
      <c r="BG90" s="61"/>
      <c r="BH90" s="61"/>
      <c r="BI90" s="61"/>
      <c r="BJ90" s="61"/>
      <c r="BK90" s="61"/>
      <c r="BL90" s="61"/>
      <c r="BM90" s="61"/>
      <c r="BN90" s="61"/>
      <c r="BO90" s="61"/>
      <c r="BP90" s="61"/>
      <c r="BQ90" s="61"/>
      <c r="BR90" s="95"/>
      <c r="BS90" s="61"/>
      <c r="BT90" s="61"/>
    </row>
    <row r="91" ht="14.25" customHeight="1" spans="1:72" x14ac:dyDescent="0.25">
      <c r="A91" s="61">
        <f t="shared" si="0"/>
      </c>
      <c r="B91" s="61">
        <f t="array" ref="B91">IFERROR(INDEX('02_DS_Nhan_Viec'!$B:$B,MATCH(ROW()-1,'02_DS_Nhan_Viec'!$M:$M,0)),"")</f>
      </c>
      <c r="C91" s="61">
        <f t="array" ref="C91">IF($B91="","",IFERROR(INDEX('01_UngVien_PhongVan'!$D:$D,MATCH($B91,'01_UngVien_PhongVan'!$B:$B,0)),"Không tìm thấy mã ứng viên"))</f>
      </c>
      <c r="D91" s="61">
        <f t="array" ref="D91">IF($B91="","",IFERROR(INDEX('01_UngVien_PhongVan'!$R:$R,MATCH($B91,'01_UngVien_PhongVan'!$B:$B,0)),""))</f>
      </c>
      <c r="E91" s="61">
        <f t="array" ref="E91">IF($B91="","",IFERROR(INDEX('02_DS_Nhan_Viec'!$H:$H,MATCH($B91,'02_DS_Nhan_Viec'!$B:$B,0)),""))</f>
      </c>
      <c r="F91" s="68">
        <f t="array" ref="F91">IF($B91="","",IFERROR(INDEX('02_DS_Nhan_Viec'!$E:$E,MATCH($B91,'02_DS_Nhan_Viec'!$B:$B,0)),""))</f>
      </c>
      <c r="G91" s="68">
        <f t="shared" si="1"/>
      </c>
      <c r="H91" s="68">
        <f t="shared" si="2"/>
      </c>
      <c r="I91" s="68"/>
      <c r="J91" s="61"/>
      <c r="K91" s="61"/>
      <c r="L91" s="61"/>
      <c r="M91" s="61"/>
      <c r="N91" s="61"/>
      <c r="O91" s="61"/>
      <c r="P91" s="92"/>
      <c r="Q91" s="92"/>
      <c r="R91" s="93">
        <f t="shared" si="3"/>
      </c>
      <c r="S91" s="61"/>
      <c r="T91" s="61"/>
      <c r="U91" s="61"/>
      <c r="V91" s="61"/>
      <c r="W91" s="61">
        <f t="shared" si="4"/>
      </c>
      <c r="X91" s="94">
        <f t="shared" si="5"/>
      </c>
      <c r="Y91" s="94">
        <f t="shared" si="6"/>
      </c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95"/>
      <c r="AM91" s="61"/>
      <c r="AN91" s="61"/>
      <c r="AO91" s="68"/>
      <c r="AP91" s="61"/>
      <c r="AQ91" s="61"/>
      <c r="AR91" s="61"/>
      <c r="AS91" s="61"/>
      <c r="AT91" s="61"/>
      <c r="AU91" s="61"/>
      <c r="AV91" s="92"/>
      <c r="AW91" s="92"/>
      <c r="AX91" s="93">
        <f t="shared" si="7"/>
      </c>
      <c r="AY91" s="61"/>
      <c r="AZ91" s="61"/>
      <c r="BA91" s="61"/>
      <c r="BB91" s="61"/>
      <c r="BC91" s="61">
        <f t="shared" si="11"/>
      </c>
      <c r="BD91" s="94">
        <f t="shared" si="12"/>
      </c>
      <c r="BE91" s="94">
        <f t="shared" si="13"/>
      </c>
      <c r="BF91" s="61"/>
      <c r="BG91" s="61"/>
      <c r="BH91" s="61"/>
      <c r="BI91" s="61"/>
      <c r="BJ91" s="61"/>
      <c r="BK91" s="61"/>
      <c r="BL91" s="61"/>
      <c r="BM91" s="61"/>
      <c r="BN91" s="61"/>
      <c r="BO91" s="61"/>
      <c r="BP91" s="61"/>
      <c r="BQ91" s="61"/>
      <c r="BR91" s="95"/>
      <c r="BS91" s="61"/>
      <c r="BT91" s="61"/>
    </row>
    <row r="92" ht="14.25" customHeight="1" spans="1:72" x14ac:dyDescent="0.25">
      <c r="A92" s="61">
        <f t="shared" si="0"/>
      </c>
      <c r="B92" s="61">
        <f t="array" ref="B92">IFERROR(INDEX('02_DS_Nhan_Viec'!$B:$B,MATCH(ROW()-1,'02_DS_Nhan_Viec'!$M:$M,0)),"")</f>
      </c>
      <c r="C92" s="61">
        <f t="array" ref="C92">IF($B92="","",IFERROR(INDEX('01_UngVien_PhongVan'!$D:$D,MATCH($B92,'01_UngVien_PhongVan'!$B:$B,0)),"Không tìm thấy mã ứng viên"))</f>
      </c>
      <c r="D92" s="61">
        <f t="array" ref="D92">IF($B92="","",IFERROR(INDEX('01_UngVien_PhongVan'!$R:$R,MATCH($B92,'01_UngVien_PhongVan'!$B:$B,0)),""))</f>
      </c>
      <c r="E92" s="61">
        <f t="array" ref="E92">IF($B92="","",IFERROR(INDEX('02_DS_Nhan_Viec'!$H:$H,MATCH($B92,'02_DS_Nhan_Viec'!$B:$B,0)),""))</f>
      </c>
      <c r="F92" s="68">
        <f t="array" ref="F92">IF($B92="","",IFERROR(INDEX('02_DS_Nhan_Viec'!$E:$E,MATCH($B92,'02_DS_Nhan_Viec'!$B:$B,0)),""))</f>
      </c>
      <c r="G92" s="68">
        <f t="shared" si="1"/>
      </c>
      <c r="H92" s="68">
        <f t="shared" si="2"/>
      </c>
      <c r="I92" s="68"/>
      <c r="J92" s="61"/>
      <c r="K92" s="61"/>
      <c r="L92" s="61"/>
      <c r="M92" s="61"/>
      <c r="N92" s="61"/>
      <c r="O92" s="61"/>
      <c r="P92" s="92"/>
      <c r="Q92" s="92"/>
      <c r="R92" s="93">
        <f t="shared" si="3"/>
      </c>
      <c r="S92" s="61"/>
      <c r="T92" s="61"/>
      <c r="U92" s="61"/>
      <c r="V92" s="61"/>
      <c r="W92" s="61">
        <f t="shared" si="4"/>
      </c>
      <c r="X92" s="94">
        <f t="shared" si="5"/>
      </c>
      <c r="Y92" s="94">
        <f t="shared" si="6"/>
      </c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95"/>
      <c r="AM92" s="61"/>
      <c r="AN92" s="61"/>
      <c r="AO92" s="68"/>
      <c r="AP92" s="61"/>
      <c r="AQ92" s="61"/>
      <c r="AR92" s="61"/>
      <c r="AS92" s="61"/>
      <c r="AT92" s="61"/>
      <c r="AU92" s="61"/>
      <c r="AV92" s="92"/>
      <c r="AW92" s="92"/>
      <c r="AX92" s="93">
        <f t="shared" si="7"/>
      </c>
      <c r="AY92" s="61"/>
      <c r="AZ92" s="61"/>
      <c r="BA92" s="61"/>
      <c r="BB92" s="61"/>
      <c r="BC92" s="61">
        <f t="shared" si="11"/>
      </c>
      <c r="BD92" s="94">
        <f t="shared" si="12"/>
      </c>
      <c r="BE92" s="94">
        <f t="shared" si="13"/>
      </c>
      <c r="BF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1"/>
      <c r="BR92" s="95"/>
      <c r="BS92" s="61"/>
      <c r="BT92" s="61"/>
    </row>
    <row r="93" ht="14.25" customHeight="1" spans="1:72" x14ac:dyDescent="0.25">
      <c r="A93" s="61">
        <f t="shared" si="0"/>
      </c>
      <c r="B93" s="61">
        <f t="array" ref="B93">IFERROR(INDEX('02_DS_Nhan_Viec'!$B:$B,MATCH(ROW()-1,'02_DS_Nhan_Viec'!$M:$M,0)),"")</f>
      </c>
      <c r="C93" s="61">
        <f t="array" ref="C93">IF($B93="","",IFERROR(INDEX('01_UngVien_PhongVan'!$D:$D,MATCH($B93,'01_UngVien_PhongVan'!$B:$B,0)),"Không tìm thấy mã ứng viên"))</f>
      </c>
      <c r="D93" s="61">
        <f t="array" ref="D93">IF($B93="","",IFERROR(INDEX('01_UngVien_PhongVan'!$R:$R,MATCH($B93,'01_UngVien_PhongVan'!$B:$B,0)),""))</f>
      </c>
      <c r="E93" s="61">
        <f t="array" ref="E93">IF($B93="","",IFERROR(INDEX('02_DS_Nhan_Viec'!$H:$H,MATCH($B93,'02_DS_Nhan_Viec'!$B:$B,0)),""))</f>
      </c>
      <c r="F93" s="68">
        <f t="array" ref="F93">IF($B93="","",IFERROR(INDEX('02_DS_Nhan_Viec'!$E:$E,MATCH($B93,'02_DS_Nhan_Viec'!$B:$B,0)),""))</f>
      </c>
      <c r="G93" s="68">
        <f t="shared" si="1"/>
      </c>
      <c r="H93" s="68">
        <f t="shared" si="2"/>
      </c>
      <c r="I93" s="68"/>
      <c r="J93" s="61"/>
      <c r="K93" s="61"/>
      <c r="L93" s="61"/>
      <c r="M93" s="61"/>
      <c r="N93" s="61"/>
      <c r="O93" s="61"/>
      <c r="P93" s="92"/>
      <c r="Q93" s="92"/>
      <c r="R93" s="93">
        <f t="shared" si="3"/>
      </c>
      <c r="S93" s="61"/>
      <c r="T93" s="61"/>
      <c r="U93" s="61"/>
      <c r="V93" s="61"/>
      <c r="W93" s="61">
        <f t="shared" si="4"/>
      </c>
      <c r="X93" s="94">
        <f t="shared" si="5"/>
      </c>
      <c r="Y93" s="94">
        <f t="shared" si="6"/>
      </c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95"/>
      <c r="AM93" s="61"/>
      <c r="AN93" s="61"/>
      <c r="AO93" s="68"/>
      <c r="AP93" s="61"/>
      <c r="AQ93" s="61"/>
      <c r="AR93" s="61"/>
      <c r="AS93" s="61"/>
      <c r="AT93" s="61"/>
      <c r="AU93" s="61"/>
      <c r="AV93" s="92"/>
      <c r="AW93" s="92"/>
      <c r="AX93" s="93">
        <f t="shared" si="7"/>
      </c>
      <c r="AY93" s="61"/>
      <c r="AZ93" s="61"/>
      <c r="BA93" s="61"/>
      <c r="BB93" s="61"/>
      <c r="BC93" s="61">
        <f t="shared" si="11"/>
      </c>
      <c r="BD93" s="94">
        <f t="shared" si="12"/>
      </c>
      <c r="BE93" s="94">
        <f t="shared" si="13"/>
      </c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95"/>
      <c r="BS93" s="61"/>
      <c r="BT93" s="61"/>
    </row>
    <row r="94" ht="14.25" customHeight="1" spans="1:72" x14ac:dyDescent="0.25">
      <c r="A94" s="61">
        <f t="shared" si="0"/>
      </c>
      <c r="B94" s="61">
        <f t="array" ref="B94">IFERROR(INDEX('02_DS_Nhan_Viec'!$B:$B,MATCH(ROW()-1,'02_DS_Nhan_Viec'!$M:$M,0)),"")</f>
      </c>
      <c r="C94" s="61">
        <f t="array" ref="C94">IF($B94="","",IFERROR(INDEX('01_UngVien_PhongVan'!$D:$D,MATCH($B94,'01_UngVien_PhongVan'!$B:$B,0)),"Không tìm thấy mã ứng viên"))</f>
      </c>
      <c r="D94" s="61">
        <f t="array" ref="D94">IF($B94="","",IFERROR(INDEX('01_UngVien_PhongVan'!$R:$R,MATCH($B94,'01_UngVien_PhongVan'!$B:$B,0)),""))</f>
      </c>
      <c r="E94" s="61">
        <f t="array" ref="E94">IF($B94="","",IFERROR(INDEX('02_DS_Nhan_Viec'!$H:$H,MATCH($B94,'02_DS_Nhan_Viec'!$B:$B,0)),""))</f>
      </c>
      <c r="F94" s="68">
        <f t="array" ref="F94">IF($B94="","",IFERROR(INDEX('02_DS_Nhan_Viec'!$E:$E,MATCH($B94,'02_DS_Nhan_Viec'!$B:$B,0)),""))</f>
      </c>
      <c r="G94" s="68">
        <f t="shared" si="1"/>
      </c>
      <c r="H94" s="68">
        <f t="shared" si="2"/>
      </c>
      <c r="I94" s="68"/>
      <c r="J94" s="61"/>
      <c r="K94" s="61"/>
      <c r="L94" s="61"/>
      <c r="M94" s="61"/>
      <c r="N94" s="61"/>
      <c r="O94" s="61"/>
      <c r="P94" s="92"/>
      <c r="Q94" s="92"/>
      <c r="R94" s="93">
        <f t="shared" si="3"/>
      </c>
      <c r="S94" s="61"/>
      <c r="T94" s="61"/>
      <c r="U94" s="61"/>
      <c r="V94" s="61"/>
      <c r="W94" s="61">
        <f t="shared" si="4"/>
      </c>
      <c r="X94" s="94">
        <f t="shared" si="5"/>
      </c>
      <c r="Y94" s="94">
        <f t="shared" si="6"/>
      </c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95"/>
      <c r="AM94" s="61"/>
      <c r="AN94" s="61"/>
      <c r="AO94" s="68"/>
      <c r="AP94" s="61"/>
      <c r="AQ94" s="61"/>
      <c r="AR94" s="61"/>
      <c r="AS94" s="61"/>
      <c r="AT94" s="61"/>
      <c r="AU94" s="61"/>
      <c r="AV94" s="92"/>
      <c r="AW94" s="92"/>
      <c r="AX94" s="93">
        <f t="shared" si="7"/>
      </c>
      <c r="AY94" s="61"/>
      <c r="AZ94" s="61"/>
      <c r="BA94" s="61"/>
      <c r="BB94" s="61"/>
      <c r="BC94" s="61">
        <f t="shared" si="11"/>
      </c>
      <c r="BD94" s="94">
        <f t="shared" si="12"/>
      </c>
      <c r="BE94" s="94">
        <f t="shared" si="13"/>
      </c>
      <c r="BF94" s="61"/>
      <c r="BG94" s="61"/>
      <c r="BH94" s="61"/>
      <c r="BI94" s="61"/>
      <c r="BJ94" s="61"/>
      <c r="BK94" s="61"/>
      <c r="BL94" s="61"/>
      <c r="BM94" s="61"/>
      <c r="BN94" s="61"/>
      <c r="BO94" s="61"/>
      <c r="BP94" s="61"/>
      <c r="BQ94" s="61"/>
      <c r="BR94" s="95"/>
      <c r="BS94" s="61"/>
      <c r="BT94" s="61"/>
    </row>
    <row r="95" ht="14.25" customHeight="1" spans="1:72" x14ac:dyDescent="0.25">
      <c r="A95" s="61">
        <f t="shared" si="0"/>
      </c>
      <c r="B95" s="61">
        <f t="array" ref="B95">IFERROR(INDEX('02_DS_Nhan_Viec'!$B:$B,MATCH(ROW()-1,'02_DS_Nhan_Viec'!$M:$M,0)),"")</f>
      </c>
      <c r="C95" s="61">
        <f t="array" ref="C95">IF($B95="","",IFERROR(INDEX('01_UngVien_PhongVan'!$D:$D,MATCH($B95,'01_UngVien_PhongVan'!$B:$B,0)),"Không tìm thấy mã ứng viên"))</f>
      </c>
      <c r="D95" s="61">
        <f t="array" ref="D95">IF($B95="","",IFERROR(INDEX('01_UngVien_PhongVan'!$R:$R,MATCH($B95,'01_UngVien_PhongVan'!$B:$B,0)),""))</f>
      </c>
      <c r="E95" s="61">
        <f t="array" ref="E95">IF($B95="","",IFERROR(INDEX('02_DS_Nhan_Viec'!$H:$H,MATCH($B95,'02_DS_Nhan_Viec'!$B:$B,0)),""))</f>
      </c>
      <c r="F95" s="68">
        <f t="array" ref="F95">IF($B95="","",IFERROR(INDEX('02_DS_Nhan_Viec'!$E:$E,MATCH($B95,'02_DS_Nhan_Viec'!$B:$B,0)),""))</f>
      </c>
      <c r="G95" s="68">
        <f t="shared" si="1"/>
      </c>
      <c r="H95" s="68">
        <f t="shared" si="2"/>
      </c>
      <c r="I95" s="68"/>
      <c r="J95" s="61"/>
      <c r="K95" s="61"/>
      <c r="L95" s="61"/>
      <c r="M95" s="61"/>
      <c r="N95" s="61"/>
      <c r="O95" s="61"/>
      <c r="P95" s="92"/>
      <c r="Q95" s="92"/>
      <c r="R95" s="93">
        <f t="shared" si="3"/>
      </c>
      <c r="S95" s="61"/>
      <c r="T95" s="61"/>
      <c r="U95" s="61"/>
      <c r="V95" s="61"/>
      <c r="W95" s="61">
        <f t="shared" si="4"/>
      </c>
      <c r="X95" s="94">
        <f t="shared" si="5"/>
      </c>
      <c r="Y95" s="94">
        <f t="shared" si="6"/>
      </c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95"/>
      <c r="AM95" s="61"/>
      <c r="AN95" s="61"/>
      <c r="AO95" s="68"/>
      <c r="AP95" s="61"/>
      <c r="AQ95" s="61"/>
      <c r="AR95" s="61"/>
      <c r="AS95" s="61"/>
      <c r="AT95" s="61"/>
      <c r="AU95" s="61"/>
      <c r="AV95" s="92"/>
      <c r="AW95" s="92"/>
      <c r="AX95" s="93">
        <f t="shared" si="7"/>
      </c>
      <c r="AY95" s="61"/>
      <c r="AZ95" s="61"/>
      <c r="BA95" s="61"/>
      <c r="BB95" s="61"/>
      <c r="BC95" s="61">
        <f t="shared" si="11"/>
      </c>
      <c r="BD95" s="94">
        <f t="shared" si="12"/>
      </c>
      <c r="BE95" s="94">
        <f t="shared" si="13"/>
      </c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95"/>
      <c r="BS95" s="61"/>
      <c r="BT95" s="61"/>
    </row>
    <row r="96" ht="14.25" customHeight="1" spans="1:72" x14ac:dyDescent="0.25">
      <c r="A96" s="61">
        <f t="shared" si="0"/>
      </c>
      <c r="B96" s="61">
        <f t="array" ref="B96">IFERROR(INDEX('02_DS_Nhan_Viec'!$B:$B,MATCH(ROW()-1,'02_DS_Nhan_Viec'!$M:$M,0)),"")</f>
      </c>
      <c r="C96" s="61">
        <f t="array" ref="C96">IF($B96="","",IFERROR(INDEX('01_UngVien_PhongVan'!$D:$D,MATCH($B96,'01_UngVien_PhongVan'!$B:$B,0)),"Không tìm thấy mã ứng viên"))</f>
      </c>
      <c r="D96" s="61">
        <f t="array" ref="D96">IF($B96="","",IFERROR(INDEX('01_UngVien_PhongVan'!$R:$R,MATCH($B96,'01_UngVien_PhongVan'!$B:$B,0)),""))</f>
      </c>
      <c r="E96" s="61">
        <f t="array" ref="E96">IF($B96="","",IFERROR(INDEX('02_DS_Nhan_Viec'!$H:$H,MATCH($B96,'02_DS_Nhan_Viec'!$B:$B,0)),""))</f>
      </c>
      <c r="F96" s="68">
        <f t="array" ref="F96">IF($B96="","",IFERROR(INDEX('02_DS_Nhan_Viec'!$E:$E,MATCH($B96,'02_DS_Nhan_Viec'!$B:$B,0)),""))</f>
      </c>
      <c r="G96" s="68">
        <f t="shared" si="1"/>
      </c>
      <c r="H96" s="68">
        <f t="shared" si="2"/>
      </c>
      <c r="I96" s="68"/>
      <c r="J96" s="61"/>
      <c r="K96" s="61"/>
      <c r="L96" s="61"/>
      <c r="M96" s="61"/>
      <c r="N96" s="61"/>
      <c r="O96" s="61"/>
      <c r="P96" s="92"/>
      <c r="Q96" s="92"/>
      <c r="R96" s="93">
        <f t="shared" si="3"/>
      </c>
      <c r="S96" s="61"/>
      <c r="T96" s="61"/>
      <c r="U96" s="61"/>
      <c r="V96" s="61"/>
      <c r="W96" s="61">
        <f t="shared" si="4"/>
      </c>
      <c r="X96" s="94">
        <f t="shared" si="5"/>
      </c>
      <c r="Y96" s="94">
        <f t="shared" si="6"/>
      </c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95"/>
      <c r="AM96" s="61"/>
      <c r="AN96" s="61"/>
      <c r="AO96" s="68"/>
      <c r="AP96" s="61"/>
      <c r="AQ96" s="61"/>
      <c r="AR96" s="61"/>
      <c r="AS96" s="61"/>
      <c r="AT96" s="61"/>
      <c r="AU96" s="61"/>
      <c r="AV96" s="92"/>
      <c r="AW96" s="92"/>
      <c r="AX96" s="93">
        <f t="shared" si="7"/>
      </c>
      <c r="AY96" s="61"/>
      <c r="AZ96" s="61"/>
      <c r="BA96" s="61"/>
      <c r="BB96" s="61"/>
      <c r="BC96" s="61">
        <f t="shared" si="11"/>
      </c>
      <c r="BD96" s="94">
        <f t="shared" si="12"/>
      </c>
      <c r="BE96" s="94">
        <f t="shared" si="13"/>
      </c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95"/>
      <c r="BS96" s="61"/>
      <c r="BT96" s="61"/>
    </row>
    <row r="97" ht="14.25" customHeight="1" spans="1:72" x14ac:dyDescent="0.25">
      <c r="A97" s="61">
        <f t="shared" si="0"/>
      </c>
      <c r="B97" s="61">
        <f t="array" ref="B97">IFERROR(INDEX('02_DS_Nhan_Viec'!$B:$B,MATCH(ROW()-1,'02_DS_Nhan_Viec'!$M:$M,0)),"")</f>
      </c>
      <c r="C97" s="61">
        <f t="array" ref="C97">IF($B97="","",IFERROR(INDEX('01_UngVien_PhongVan'!$D:$D,MATCH($B97,'01_UngVien_PhongVan'!$B:$B,0)),"Không tìm thấy mã ứng viên"))</f>
      </c>
      <c r="D97" s="61">
        <f t="array" ref="D97">IF($B97="","",IFERROR(INDEX('01_UngVien_PhongVan'!$R:$R,MATCH($B97,'01_UngVien_PhongVan'!$B:$B,0)),""))</f>
      </c>
      <c r="E97" s="61">
        <f t="array" ref="E97">IF($B97="","",IFERROR(INDEX('02_DS_Nhan_Viec'!$H:$H,MATCH($B97,'02_DS_Nhan_Viec'!$B:$B,0)),""))</f>
      </c>
      <c r="F97" s="68">
        <f t="array" ref="F97">IF($B97="","",IFERROR(INDEX('02_DS_Nhan_Viec'!$E:$E,MATCH($B97,'02_DS_Nhan_Viec'!$B:$B,0)),""))</f>
      </c>
      <c r="G97" s="68">
        <f t="shared" si="1"/>
      </c>
      <c r="H97" s="68">
        <f t="shared" si="2"/>
      </c>
      <c r="I97" s="68"/>
      <c r="J97" s="61"/>
      <c r="K97" s="61"/>
      <c r="L97" s="61"/>
      <c r="M97" s="61"/>
      <c r="N97" s="61"/>
      <c r="O97" s="61"/>
      <c r="P97" s="92"/>
      <c r="Q97" s="92"/>
      <c r="R97" s="93">
        <f t="shared" si="3"/>
      </c>
      <c r="S97" s="61"/>
      <c r="T97" s="61"/>
      <c r="U97" s="61"/>
      <c r="V97" s="61"/>
      <c r="W97" s="61">
        <f t="shared" si="4"/>
      </c>
      <c r="X97" s="94">
        <f t="shared" si="5"/>
      </c>
      <c r="Y97" s="94">
        <f t="shared" si="6"/>
      </c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95"/>
      <c r="AM97" s="61"/>
      <c r="AN97" s="61"/>
      <c r="AO97" s="68"/>
      <c r="AP97" s="61"/>
      <c r="AQ97" s="61"/>
      <c r="AR97" s="61"/>
      <c r="AS97" s="61"/>
      <c r="AT97" s="61"/>
      <c r="AU97" s="61"/>
      <c r="AV97" s="92"/>
      <c r="AW97" s="92"/>
      <c r="AX97" s="93">
        <f t="shared" si="7"/>
      </c>
      <c r="AY97" s="61"/>
      <c r="AZ97" s="61"/>
      <c r="BA97" s="61"/>
      <c r="BB97" s="61"/>
      <c r="BC97" s="61">
        <f t="shared" si="11"/>
      </c>
      <c r="BD97" s="94">
        <f t="shared" si="12"/>
      </c>
      <c r="BE97" s="94">
        <f t="shared" si="13"/>
      </c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95"/>
      <c r="BS97" s="61"/>
      <c r="BT97" s="61"/>
    </row>
    <row r="98" ht="14.25" customHeight="1" spans="1:72" x14ac:dyDescent="0.25">
      <c r="A98" s="61">
        <f t="shared" si="0"/>
      </c>
      <c r="B98" s="61">
        <f t="array" ref="B98">IFERROR(INDEX('02_DS_Nhan_Viec'!$B:$B,MATCH(ROW()-1,'02_DS_Nhan_Viec'!$M:$M,0)),"")</f>
      </c>
      <c r="C98" s="61">
        <f t="array" ref="C98">IF($B98="","",IFERROR(INDEX('01_UngVien_PhongVan'!$D:$D,MATCH($B98,'01_UngVien_PhongVan'!$B:$B,0)),"Không tìm thấy mã ứng viên"))</f>
      </c>
      <c r="D98" s="61">
        <f t="array" ref="D98">IF($B98="","",IFERROR(INDEX('01_UngVien_PhongVan'!$R:$R,MATCH($B98,'01_UngVien_PhongVan'!$B:$B,0)),""))</f>
      </c>
      <c r="E98" s="61">
        <f t="array" ref="E98">IF($B98="","",IFERROR(INDEX('02_DS_Nhan_Viec'!$H:$H,MATCH($B98,'02_DS_Nhan_Viec'!$B:$B,0)),""))</f>
      </c>
      <c r="F98" s="68">
        <f t="array" ref="F98">IF($B98="","",IFERROR(INDEX('02_DS_Nhan_Viec'!$E:$E,MATCH($B98,'02_DS_Nhan_Viec'!$B:$B,0)),""))</f>
      </c>
      <c r="G98" s="68">
        <f t="shared" si="1"/>
      </c>
      <c r="H98" s="68">
        <f t="shared" si="2"/>
      </c>
      <c r="I98" s="68"/>
      <c r="J98" s="61"/>
      <c r="K98" s="61"/>
      <c r="L98" s="61"/>
      <c r="M98" s="61"/>
      <c r="N98" s="61"/>
      <c r="O98" s="61"/>
      <c r="P98" s="92"/>
      <c r="Q98" s="92"/>
      <c r="R98" s="93">
        <f t="shared" si="3"/>
      </c>
      <c r="S98" s="61"/>
      <c r="T98" s="61"/>
      <c r="U98" s="61"/>
      <c r="V98" s="61"/>
      <c r="W98" s="61">
        <f t="shared" si="4"/>
      </c>
      <c r="X98" s="94">
        <f t="shared" si="5"/>
      </c>
      <c r="Y98" s="94">
        <f t="shared" si="6"/>
      </c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95"/>
      <c r="AM98" s="61"/>
      <c r="AN98" s="61"/>
      <c r="AO98" s="68"/>
      <c r="AP98" s="61"/>
      <c r="AQ98" s="61"/>
      <c r="AR98" s="61"/>
      <c r="AS98" s="61"/>
      <c r="AT98" s="61"/>
      <c r="AU98" s="61"/>
      <c r="AV98" s="92"/>
      <c r="AW98" s="92"/>
      <c r="AX98" s="93">
        <f t="shared" si="7"/>
      </c>
      <c r="AY98" s="61"/>
      <c r="AZ98" s="61"/>
      <c r="BA98" s="61"/>
      <c r="BB98" s="61"/>
      <c r="BC98" s="61">
        <f t="shared" si="11"/>
      </c>
      <c r="BD98" s="94">
        <f t="shared" si="12"/>
      </c>
      <c r="BE98" s="94">
        <f t="shared" si="13"/>
      </c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95"/>
      <c r="BS98" s="61"/>
      <c r="BT98" s="61"/>
    </row>
    <row r="99" ht="14.25" customHeight="1" spans="1:72" x14ac:dyDescent="0.25">
      <c r="A99" s="61">
        <f t="shared" si="0"/>
      </c>
      <c r="B99" s="61">
        <f t="array" ref="B99">IFERROR(INDEX('02_DS_Nhan_Viec'!$B:$B,MATCH(ROW()-1,'02_DS_Nhan_Viec'!$M:$M,0)),"")</f>
      </c>
      <c r="C99" s="61">
        <f t="array" ref="C99">IF($B99="","",IFERROR(INDEX('01_UngVien_PhongVan'!$D:$D,MATCH($B99,'01_UngVien_PhongVan'!$B:$B,0)),"Không tìm thấy mã ứng viên"))</f>
      </c>
      <c r="D99" s="61">
        <f t="array" ref="D99">IF($B99="","",IFERROR(INDEX('01_UngVien_PhongVan'!$R:$R,MATCH($B99,'01_UngVien_PhongVan'!$B:$B,0)),""))</f>
      </c>
      <c r="E99" s="61">
        <f t="array" ref="E99">IF($B99="","",IFERROR(INDEX('02_DS_Nhan_Viec'!$H:$H,MATCH($B99,'02_DS_Nhan_Viec'!$B:$B,0)),""))</f>
      </c>
      <c r="F99" s="68">
        <f t="array" ref="F99">IF($B99="","",IFERROR(INDEX('02_DS_Nhan_Viec'!$E:$E,MATCH($B99,'02_DS_Nhan_Viec'!$B:$B,0)),""))</f>
      </c>
      <c r="G99" s="68">
        <f t="shared" si="1"/>
      </c>
      <c r="H99" s="68">
        <f t="shared" si="2"/>
      </c>
      <c r="I99" s="68"/>
      <c r="J99" s="61"/>
      <c r="K99" s="61"/>
      <c r="L99" s="61"/>
      <c r="M99" s="61"/>
      <c r="N99" s="61"/>
      <c r="O99" s="61"/>
      <c r="P99" s="92"/>
      <c r="Q99" s="92"/>
      <c r="R99" s="93">
        <f t="shared" si="3"/>
      </c>
      <c r="S99" s="61"/>
      <c r="T99" s="61"/>
      <c r="U99" s="61"/>
      <c r="V99" s="61"/>
      <c r="W99" s="61">
        <f t="shared" si="4"/>
      </c>
      <c r="X99" s="94">
        <f t="shared" si="5"/>
      </c>
      <c r="Y99" s="94">
        <f t="shared" si="6"/>
      </c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95"/>
      <c r="AM99" s="61"/>
      <c r="AN99" s="61"/>
      <c r="AO99" s="68"/>
      <c r="AP99" s="61"/>
      <c r="AQ99" s="61"/>
      <c r="AR99" s="61"/>
      <c r="AS99" s="61"/>
      <c r="AT99" s="61"/>
      <c r="AU99" s="61"/>
      <c r="AV99" s="92"/>
      <c r="AW99" s="92"/>
      <c r="AX99" s="93">
        <f t="shared" si="7"/>
      </c>
      <c r="AY99" s="61"/>
      <c r="AZ99" s="61"/>
      <c r="BA99" s="61"/>
      <c r="BB99" s="61"/>
      <c r="BC99" s="61">
        <f t="shared" si="11"/>
      </c>
      <c r="BD99" s="94">
        <f t="shared" si="12"/>
      </c>
      <c r="BE99" s="94">
        <f t="shared" si="13"/>
      </c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95"/>
      <c r="BS99" s="61"/>
      <c r="BT99" s="61"/>
    </row>
    <row r="100" ht="14.25" customHeight="1" spans="1:72" x14ac:dyDescent="0.25">
      <c r="A100" s="61">
        <f t="shared" si="0"/>
      </c>
      <c r="B100" s="61">
        <f t="array" ref="B100">IFERROR(INDEX('02_DS_Nhan_Viec'!$B:$B,MATCH(ROW()-1,'02_DS_Nhan_Viec'!$M:$M,0)),"")</f>
      </c>
      <c r="C100" s="61">
        <f t="array" ref="C100">IF($B100="","",IFERROR(INDEX('01_UngVien_PhongVan'!$D:$D,MATCH($B100,'01_UngVien_PhongVan'!$B:$B,0)),"Không tìm thấy mã ứng viên"))</f>
      </c>
      <c r="D100" s="61">
        <f t="array" ref="D100">IF($B100="","",IFERROR(INDEX('01_UngVien_PhongVan'!$R:$R,MATCH($B100,'01_UngVien_PhongVan'!$B:$B,0)),""))</f>
      </c>
      <c r="E100" s="61">
        <f t="array" ref="E100">IF($B100="","",IFERROR(INDEX('02_DS_Nhan_Viec'!$H:$H,MATCH($B100,'02_DS_Nhan_Viec'!$B:$B,0)),""))</f>
      </c>
      <c r="F100" s="68">
        <f t="array" ref="F100">IF($B100="","",IFERROR(INDEX('02_DS_Nhan_Viec'!$E:$E,MATCH($B100,'02_DS_Nhan_Viec'!$B:$B,0)),""))</f>
      </c>
      <c r="G100" s="68">
        <f t="shared" si="1"/>
      </c>
      <c r="H100" s="68">
        <f t="shared" si="2"/>
      </c>
      <c r="I100" s="68"/>
      <c r="J100" s="61"/>
      <c r="K100" s="61"/>
      <c r="L100" s="61"/>
      <c r="M100" s="61"/>
      <c r="N100" s="61"/>
      <c r="O100" s="61"/>
      <c r="P100" s="92"/>
      <c r="Q100" s="92"/>
      <c r="R100" s="93">
        <f t="shared" si="3"/>
      </c>
      <c r="S100" s="61"/>
      <c r="T100" s="61"/>
      <c r="U100" s="61"/>
      <c r="V100" s="61"/>
      <c r="W100" s="61">
        <f t="shared" si="4"/>
      </c>
      <c r="X100" s="94">
        <f t="shared" si="5"/>
      </c>
      <c r="Y100" s="94">
        <f t="shared" si="6"/>
      </c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95"/>
      <c r="AM100" s="61"/>
      <c r="AN100" s="61"/>
      <c r="AO100" s="68"/>
      <c r="AP100" s="61"/>
      <c r="AQ100" s="61"/>
      <c r="AR100" s="61"/>
      <c r="AS100" s="61"/>
      <c r="AT100" s="61"/>
      <c r="AU100" s="61"/>
      <c r="AV100" s="92"/>
      <c r="AW100" s="92"/>
      <c r="AX100" s="93">
        <f t="shared" si="7"/>
      </c>
      <c r="AY100" s="61"/>
      <c r="AZ100" s="61"/>
      <c r="BA100" s="61"/>
      <c r="BB100" s="61"/>
      <c r="BC100" s="61">
        <f t="shared" si="11"/>
      </c>
      <c r="BD100" s="94">
        <f t="shared" si="12"/>
      </c>
      <c r="BE100" s="94">
        <f t="shared" si="13"/>
      </c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95"/>
      <c r="BS100" s="61"/>
      <c r="BT100" s="61"/>
    </row>
    <row r="101" ht="14.25" customHeight="1" spans="1:72" x14ac:dyDescent="0.25">
      <c r="A101" s="61">
        <f t="shared" si="0"/>
      </c>
      <c r="B101" s="61">
        <f t="array" ref="B101">IFERROR(INDEX('02_DS_Nhan_Viec'!$B:$B,MATCH(ROW()-1,'02_DS_Nhan_Viec'!$M:$M,0)),"")</f>
      </c>
      <c r="C101" s="61">
        <f t="array" ref="C101">IF($B101="","",IFERROR(INDEX('01_UngVien_PhongVan'!$D:$D,MATCH($B101,'01_UngVien_PhongVan'!$B:$B,0)),"Không tìm thấy mã ứng viên"))</f>
      </c>
      <c r="D101" s="61">
        <f t="array" ref="D101">IF($B101="","",IFERROR(INDEX('01_UngVien_PhongVan'!$R:$R,MATCH($B101,'01_UngVien_PhongVan'!$B:$B,0)),""))</f>
      </c>
      <c r="E101" s="61">
        <f t="array" ref="E101">IF($B101="","",IFERROR(INDEX('02_DS_Nhan_Viec'!$H:$H,MATCH($B101,'02_DS_Nhan_Viec'!$B:$B,0)),""))</f>
      </c>
      <c r="F101" s="68">
        <f t="array" ref="F101">IF($B101="","",IFERROR(INDEX('02_DS_Nhan_Viec'!$E:$E,MATCH($B101,'02_DS_Nhan_Viec'!$B:$B,0)),""))</f>
      </c>
      <c r="G101" s="68">
        <f t="shared" si="1"/>
      </c>
      <c r="H101" s="68">
        <f t="shared" si="2"/>
      </c>
      <c r="I101" s="68"/>
      <c r="J101" s="61"/>
      <c r="K101" s="61"/>
      <c r="L101" s="61"/>
      <c r="M101" s="61"/>
      <c r="N101" s="61"/>
      <c r="O101" s="61"/>
      <c r="P101" s="92"/>
      <c r="Q101" s="92"/>
      <c r="R101" s="93">
        <f t="shared" si="3"/>
      </c>
      <c r="S101" s="61"/>
      <c r="T101" s="61"/>
      <c r="U101" s="61"/>
      <c r="V101" s="61"/>
      <c r="W101" s="61">
        <f t="shared" si="4"/>
      </c>
      <c r="X101" s="94">
        <f t="shared" si="5"/>
      </c>
      <c r="Y101" s="94">
        <f t="shared" si="6"/>
      </c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95"/>
      <c r="AM101" s="61"/>
      <c r="AN101" s="61"/>
      <c r="AO101" s="68"/>
      <c r="AP101" s="61"/>
      <c r="AQ101" s="61"/>
      <c r="AR101" s="61"/>
      <c r="AS101" s="61"/>
      <c r="AT101" s="61"/>
      <c r="AU101" s="61"/>
      <c r="AV101" s="92"/>
      <c r="AW101" s="92"/>
      <c r="AX101" s="93">
        <f t="shared" si="7"/>
      </c>
      <c r="AY101" s="61"/>
      <c r="AZ101" s="61"/>
      <c r="BA101" s="61"/>
      <c r="BB101" s="61"/>
      <c r="BC101" s="61">
        <f t="shared" si="11"/>
      </c>
      <c r="BD101" s="94">
        <f t="shared" si="12"/>
      </c>
      <c r="BE101" s="94">
        <f t="shared" si="13"/>
      </c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95"/>
      <c r="BS101" s="61"/>
      <c r="BT101" s="61"/>
    </row>
    <row r="102" ht="14.25" customHeight="1" spans="1:72" x14ac:dyDescent="0.25">
      <c r="A102" s="61">
        <f t="shared" si="0"/>
      </c>
      <c r="B102" s="61">
        <f t="array" ref="B102">IFERROR(INDEX('02_DS_Nhan_Viec'!$B:$B,MATCH(ROW()-1,'02_DS_Nhan_Viec'!$M:$M,0)),"")</f>
      </c>
      <c r="C102" s="61">
        <f t="array" ref="C102">IF($B102="","",IFERROR(INDEX('01_UngVien_PhongVan'!$D:$D,MATCH($B102,'01_UngVien_PhongVan'!$B:$B,0)),"Không tìm thấy mã ứng viên"))</f>
      </c>
      <c r="D102" s="61">
        <f t="array" ref="D102">IF($B102="","",IFERROR(INDEX('01_UngVien_PhongVan'!$R:$R,MATCH($B102,'01_UngVien_PhongVan'!$B:$B,0)),""))</f>
      </c>
      <c r="E102" s="61">
        <f t="array" ref="E102">IF($B102="","",IFERROR(INDEX('02_DS_Nhan_Viec'!$H:$H,MATCH($B102,'02_DS_Nhan_Viec'!$B:$B,0)),""))</f>
      </c>
      <c r="F102" s="68">
        <f t="array" ref="F102">IF($B102="","",IFERROR(INDEX('02_DS_Nhan_Viec'!$E:$E,MATCH($B102,'02_DS_Nhan_Viec'!$B:$B,0)),""))</f>
      </c>
      <c r="G102" s="68">
        <f t="shared" si="1"/>
      </c>
      <c r="H102" s="68">
        <f t="shared" si="2"/>
      </c>
      <c r="I102" s="68"/>
      <c r="J102" s="61"/>
      <c r="K102" s="61"/>
      <c r="L102" s="61"/>
      <c r="M102" s="61"/>
      <c r="N102" s="61"/>
      <c r="O102" s="61"/>
      <c r="P102" s="92"/>
      <c r="Q102" s="92"/>
      <c r="R102" s="93">
        <f t="shared" si="3"/>
      </c>
      <c r="S102" s="61"/>
      <c r="T102" s="61"/>
      <c r="U102" s="61"/>
      <c r="V102" s="61"/>
      <c r="W102" s="61">
        <f t="shared" si="4"/>
      </c>
      <c r="X102" s="94">
        <f t="shared" si="5"/>
      </c>
      <c r="Y102" s="94">
        <f t="shared" si="6"/>
      </c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95"/>
      <c r="AM102" s="61"/>
      <c r="AN102" s="61"/>
      <c r="AO102" s="68"/>
      <c r="AP102" s="61"/>
      <c r="AQ102" s="61"/>
      <c r="AR102" s="61"/>
      <c r="AS102" s="61"/>
      <c r="AT102" s="61"/>
      <c r="AU102" s="61"/>
      <c r="AV102" s="92"/>
      <c r="AW102" s="92"/>
      <c r="AX102" s="93">
        <f t="shared" si="7"/>
      </c>
      <c r="AY102" s="61"/>
      <c r="AZ102" s="61"/>
      <c r="BA102" s="61"/>
      <c r="BB102" s="61"/>
      <c r="BC102" s="61">
        <f t="shared" si="11"/>
      </c>
      <c r="BD102" s="94">
        <f t="shared" si="12"/>
      </c>
      <c r="BE102" s="94">
        <f t="shared" si="13"/>
      </c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95"/>
      <c r="BS102" s="61"/>
      <c r="BT102" s="61"/>
    </row>
    <row r="103" ht="14.25" customHeight="1" spans="1:72" x14ac:dyDescent="0.25">
      <c r="A103" s="61">
        <f t="shared" si="0"/>
      </c>
      <c r="B103" s="61">
        <f t="array" ref="B103">IFERROR(INDEX('02_DS_Nhan_Viec'!$B:$B,MATCH(ROW()-1,'02_DS_Nhan_Viec'!$M:$M,0)),"")</f>
      </c>
      <c r="C103" s="61">
        <f t="array" ref="C103">IF($B103="","",IFERROR(INDEX('01_UngVien_PhongVan'!$D:$D,MATCH($B103,'01_UngVien_PhongVan'!$B:$B,0)),"Không tìm thấy mã ứng viên"))</f>
      </c>
      <c r="D103" s="61">
        <f t="array" ref="D103">IF($B103="","",IFERROR(INDEX('01_UngVien_PhongVan'!$R:$R,MATCH($B103,'01_UngVien_PhongVan'!$B:$B,0)),""))</f>
      </c>
      <c r="E103" s="61">
        <f t="array" ref="E103">IF($B103="","",IFERROR(INDEX('02_DS_Nhan_Viec'!$H:$H,MATCH($B103,'02_DS_Nhan_Viec'!$B:$B,0)),""))</f>
      </c>
      <c r="F103" s="68">
        <f t="array" ref="F103">IF($B103="","",IFERROR(INDEX('02_DS_Nhan_Viec'!$E:$E,MATCH($B103,'02_DS_Nhan_Viec'!$B:$B,0)),""))</f>
      </c>
      <c r="G103" s="68">
        <f t="shared" si="1"/>
      </c>
      <c r="H103" s="68">
        <f t="shared" si="2"/>
      </c>
      <c r="I103" s="68"/>
      <c r="J103" s="61"/>
      <c r="K103" s="61"/>
      <c r="L103" s="61"/>
      <c r="M103" s="61"/>
      <c r="N103" s="61"/>
      <c r="O103" s="61"/>
      <c r="P103" s="92"/>
      <c r="Q103" s="92"/>
      <c r="R103" s="93">
        <f t="shared" si="3"/>
      </c>
      <c r="S103" s="61"/>
      <c r="T103" s="61"/>
      <c r="U103" s="61"/>
      <c r="V103" s="61"/>
      <c r="W103" s="61">
        <f t="shared" si="4"/>
      </c>
      <c r="X103" s="94">
        <f t="shared" si="5"/>
      </c>
      <c r="Y103" s="94">
        <f t="shared" si="6"/>
      </c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95"/>
      <c r="AM103" s="61"/>
      <c r="AN103" s="61"/>
      <c r="AO103" s="68"/>
      <c r="AP103" s="61"/>
      <c r="AQ103" s="61"/>
      <c r="AR103" s="61"/>
      <c r="AS103" s="61"/>
      <c r="AT103" s="61"/>
      <c r="AU103" s="61"/>
      <c r="AV103" s="92"/>
      <c r="AW103" s="92"/>
      <c r="AX103" s="93">
        <f t="shared" si="7"/>
      </c>
      <c r="AY103" s="61"/>
      <c r="AZ103" s="61"/>
      <c r="BA103" s="61"/>
      <c r="BB103" s="61"/>
      <c r="BC103" s="61">
        <f t="shared" si="11"/>
      </c>
      <c r="BD103" s="94">
        <f t="shared" si="12"/>
      </c>
      <c r="BE103" s="94">
        <f t="shared" si="13"/>
      </c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95"/>
      <c r="BS103" s="61"/>
      <c r="BT103" s="61"/>
    </row>
    <row r="104" ht="14.25" customHeight="1" spans="1:72" x14ac:dyDescent="0.25">
      <c r="A104" s="61">
        <f t="shared" si="0"/>
      </c>
      <c r="B104" s="61">
        <f t="array" ref="B104">IFERROR(INDEX('02_DS_Nhan_Viec'!$B:$B,MATCH(ROW()-1,'02_DS_Nhan_Viec'!$M:$M,0)),"")</f>
      </c>
      <c r="C104" s="61">
        <f t="array" ref="C104">IF($B104="","",IFERROR(INDEX('01_UngVien_PhongVan'!$D:$D,MATCH($B104,'01_UngVien_PhongVan'!$B:$B,0)),"Không tìm thấy mã ứng viên"))</f>
      </c>
      <c r="D104" s="61">
        <f t="array" ref="D104">IF($B104="","",IFERROR(INDEX('01_UngVien_PhongVan'!$R:$R,MATCH($B104,'01_UngVien_PhongVan'!$B:$B,0)),""))</f>
      </c>
      <c r="E104" s="61">
        <f t="array" ref="E104">IF($B104="","",IFERROR(INDEX('02_DS_Nhan_Viec'!$H:$H,MATCH($B104,'02_DS_Nhan_Viec'!$B:$B,0)),""))</f>
      </c>
      <c r="F104" s="68">
        <f t="array" ref="F104">IF($B104="","",IFERROR(INDEX('02_DS_Nhan_Viec'!$E:$E,MATCH($B104,'02_DS_Nhan_Viec'!$B:$B,0)),""))</f>
      </c>
      <c r="G104" s="68">
        <f t="shared" si="1"/>
      </c>
      <c r="H104" s="68">
        <f t="shared" si="2"/>
      </c>
      <c r="I104" s="68"/>
      <c r="J104" s="61"/>
      <c r="K104" s="61"/>
      <c r="L104" s="61"/>
      <c r="M104" s="61"/>
      <c r="N104" s="61"/>
      <c r="O104" s="61"/>
      <c r="P104" s="92"/>
      <c r="Q104" s="92"/>
      <c r="R104" s="93">
        <f t="shared" si="3"/>
      </c>
      <c r="S104" s="61"/>
      <c r="T104" s="61"/>
      <c r="U104" s="61"/>
      <c r="V104" s="61"/>
      <c r="W104" s="61">
        <f t="shared" si="4"/>
      </c>
      <c r="X104" s="94">
        <f t="shared" si="5"/>
      </c>
      <c r="Y104" s="94">
        <f t="shared" si="6"/>
      </c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95"/>
      <c r="AM104" s="61"/>
      <c r="AN104" s="61"/>
      <c r="AO104" s="68"/>
      <c r="AP104" s="61"/>
      <c r="AQ104" s="61"/>
      <c r="AR104" s="61"/>
      <c r="AS104" s="61"/>
      <c r="AT104" s="61"/>
      <c r="AU104" s="61"/>
      <c r="AV104" s="92"/>
      <c r="AW104" s="92"/>
      <c r="AX104" s="93">
        <f t="shared" si="7"/>
      </c>
      <c r="AY104" s="61"/>
      <c r="AZ104" s="61"/>
      <c r="BA104" s="61"/>
      <c r="BB104" s="61"/>
      <c r="BC104" s="61">
        <f t="shared" si="11"/>
      </c>
      <c r="BD104" s="94">
        <f t="shared" si="12"/>
      </c>
      <c r="BE104" s="94">
        <f t="shared" si="13"/>
      </c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95"/>
      <c r="BS104" s="61"/>
      <c r="BT104" s="61"/>
    </row>
    <row r="105" ht="14.25" customHeight="1" spans="1:72" x14ac:dyDescent="0.25">
      <c r="A105" s="61">
        <f t="shared" si="0"/>
      </c>
      <c r="B105" s="61">
        <f t="array" ref="B105">IFERROR(INDEX('02_DS_Nhan_Viec'!$B:$B,MATCH(ROW()-1,'02_DS_Nhan_Viec'!$M:$M,0)),"")</f>
      </c>
      <c r="C105" s="61">
        <f t="array" ref="C105">IF($B105="","",IFERROR(INDEX('01_UngVien_PhongVan'!$D:$D,MATCH($B105,'01_UngVien_PhongVan'!$B:$B,0)),"Không tìm thấy mã ứng viên"))</f>
      </c>
      <c r="D105" s="61">
        <f t="array" ref="D105">IF($B105="","",IFERROR(INDEX('01_UngVien_PhongVan'!$R:$R,MATCH($B105,'01_UngVien_PhongVan'!$B:$B,0)),""))</f>
      </c>
      <c r="E105" s="61">
        <f t="array" ref="E105">IF($B105="","",IFERROR(INDEX('02_DS_Nhan_Viec'!$H:$H,MATCH($B105,'02_DS_Nhan_Viec'!$B:$B,0)),""))</f>
      </c>
      <c r="F105" s="68">
        <f t="array" ref="F105">IF($B105="","",IFERROR(INDEX('02_DS_Nhan_Viec'!$E:$E,MATCH($B105,'02_DS_Nhan_Viec'!$B:$B,0)),""))</f>
      </c>
      <c r="G105" s="68">
        <f t="shared" si="1"/>
      </c>
      <c r="H105" s="68">
        <f t="shared" si="2"/>
      </c>
      <c r="I105" s="68"/>
      <c r="J105" s="61"/>
      <c r="K105" s="61"/>
      <c r="L105" s="61"/>
      <c r="M105" s="61"/>
      <c r="N105" s="61"/>
      <c r="O105" s="61"/>
      <c r="P105" s="92"/>
      <c r="Q105" s="92"/>
      <c r="R105" s="93">
        <f t="shared" si="3"/>
      </c>
      <c r="S105" s="61"/>
      <c r="T105" s="61"/>
      <c r="U105" s="61"/>
      <c r="V105" s="61"/>
      <c r="W105" s="61">
        <f t="shared" si="4"/>
      </c>
      <c r="X105" s="94">
        <f t="shared" si="5"/>
      </c>
      <c r="Y105" s="94">
        <f t="shared" si="6"/>
      </c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95"/>
      <c r="AM105" s="61"/>
      <c r="AN105" s="61"/>
      <c r="AO105" s="68"/>
      <c r="AP105" s="61"/>
      <c r="AQ105" s="61"/>
      <c r="AR105" s="61"/>
      <c r="AS105" s="61"/>
      <c r="AT105" s="61"/>
      <c r="AU105" s="61"/>
      <c r="AV105" s="92"/>
      <c r="AW105" s="92"/>
      <c r="AX105" s="93">
        <f t="shared" si="7"/>
      </c>
      <c r="AY105" s="61"/>
      <c r="AZ105" s="61"/>
      <c r="BA105" s="61"/>
      <c r="BB105" s="61"/>
      <c r="BC105" s="61">
        <f t="shared" si="11"/>
      </c>
      <c r="BD105" s="94">
        <f t="shared" si="12"/>
      </c>
      <c r="BE105" s="94">
        <f t="shared" si="13"/>
      </c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95"/>
      <c r="BS105" s="61"/>
      <c r="BT105" s="61"/>
    </row>
    <row r="106" ht="14.25" customHeight="1" spans="1:72" x14ac:dyDescent="0.25">
      <c r="A106" s="61">
        <f t="shared" si="0"/>
      </c>
      <c r="B106" s="61">
        <f t="array" ref="B106">IFERROR(INDEX('02_DS_Nhan_Viec'!$B:$B,MATCH(ROW()-1,'02_DS_Nhan_Viec'!$M:$M,0)),"")</f>
      </c>
      <c r="C106" s="61">
        <f t="array" ref="C106">IF($B106="","",IFERROR(INDEX('01_UngVien_PhongVan'!$D:$D,MATCH($B106,'01_UngVien_PhongVan'!$B:$B,0)),"Không tìm thấy mã ứng viên"))</f>
      </c>
      <c r="D106" s="61">
        <f t="array" ref="D106">IF($B106="","",IFERROR(INDEX('01_UngVien_PhongVan'!$R:$R,MATCH($B106,'01_UngVien_PhongVan'!$B:$B,0)),""))</f>
      </c>
      <c r="E106" s="61">
        <f t="array" ref="E106">IF($B106="","",IFERROR(INDEX('02_DS_Nhan_Viec'!$H:$H,MATCH($B106,'02_DS_Nhan_Viec'!$B:$B,0)),""))</f>
      </c>
      <c r="F106" s="68">
        <f t="array" ref="F106">IF($B106="","",IFERROR(INDEX('02_DS_Nhan_Viec'!$E:$E,MATCH($B106,'02_DS_Nhan_Viec'!$B:$B,0)),""))</f>
      </c>
      <c r="G106" s="68">
        <f t="shared" si="1"/>
      </c>
      <c r="H106" s="68">
        <f t="shared" si="2"/>
      </c>
      <c r="I106" s="68"/>
      <c r="J106" s="61"/>
      <c r="K106" s="61"/>
      <c r="L106" s="61"/>
      <c r="M106" s="61"/>
      <c r="N106" s="61"/>
      <c r="O106" s="61"/>
      <c r="P106" s="92"/>
      <c r="Q106" s="92"/>
      <c r="R106" s="93">
        <f t="shared" si="3"/>
      </c>
      <c r="S106" s="61"/>
      <c r="T106" s="61"/>
      <c r="U106" s="61"/>
      <c r="V106" s="61"/>
      <c r="W106" s="61">
        <f t="shared" si="4"/>
      </c>
      <c r="X106" s="94">
        <f t="shared" si="5"/>
      </c>
      <c r="Y106" s="94">
        <f t="shared" si="6"/>
      </c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95"/>
      <c r="AM106" s="61"/>
      <c r="AN106" s="61"/>
      <c r="AO106" s="68"/>
      <c r="AP106" s="61"/>
      <c r="AQ106" s="61"/>
      <c r="AR106" s="61"/>
      <c r="AS106" s="61"/>
      <c r="AT106" s="61"/>
      <c r="AU106" s="61"/>
      <c r="AV106" s="92"/>
      <c r="AW106" s="92"/>
      <c r="AX106" s="93">
        <f t="shared" si="7"/>
      </c>
      <c r="AY106" s="61"/>
      <c r="AZ106" s="61"/>
      <c r="BA106" s="61"/>
      <c r="BB106" s="61"/>
      <c r="BC106" s="61">
        <f t="shared" si="11"/>
      </c>
      <c r="BD106" s="94">
        <f t="shared" si="12"/>
      </c>
      <c r="BE106" s="94">
        <f t="shared" si="13"/>
      </c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95"/>
      <c r="BS106" s="61"/>
      <c r="BT106" s="61"/>
    </row>
    <row r="107" ht="14.25" customHeight="1" spans="1:72" x14ac:dyDescent="0.25">
      <c r="A107" s="61">
        <f t="shared" si="0"/>
      </c>
      <c r="B107" s="61">
        <f t="array" ref="B107">IFERROR(INDEX('02_DS_Nhan_Viec'!$B:$B,MATCH(ROW()-1,'02_DS_Nhan_Viec'!$M:$M,0)),"")</f>
      </c>
      <c r="C107" s="61">
        <f t="array" ref="C107">IF($B107="","",IFERROR(INDEX('01_UngVien_PhongVan'!$D:$D,MATCH($B107,'01_UngVien_PhongVan'!$B:$B,0)),"Không tìm thấy mã ứng viên"))</f>
      </c>
      <c r="D107" s="61">
        <f t="array" ref="D107">IF($B107="","",IFERROR(INDEX('01_UngVien_PhongVan'!$R:$R,MATCH($B107,'01_UngVien_PhongVan'!$B:$B,0)),""))</f>
      </c>
      <c r="E107" s="61">
        <f t="array" ref="E107">IF($B107="","",IFERROR(INDEX('02_DS_Nhan_Viec'!$H:$H,MATCH($B107,'02_DS_Nhan_Viec'!$B:$B,0)),""))</f>
      </c>
      <c r="F107" s="68">
        <f t="array" ref="F107">IF($B107="","",IFERROR(INDEX('02_DS_Nhan_Viec'!$E:$E,MATCH($B107,'02_DS_Nhan_Viec'!$B:$B,0)),""))</f>
      </c>
      <c r="G107" s="68">
        <f t="shared" si="1"/>
      </c>
      <c r="H107" s="68">
        <f t="shared" si="2"/>
      </c>
      <c r="I107" s="68"/>
      <c r="J107" s="61"/>
      <c r="K107" s="61"/>
      <c r="L107" s="61"/>
      <c r="M107" s="61"/>
      <c r="N107" s="61"/>
      <c r="O107" s="61"/>
      <c r="P107" s="92"/>
      <c r="Q107" s="92"/>
      <c r="R107" s="93">
        <f t="shared" si="3"/>
      </c>
      <c r="S107" s="61"/>
      <c r="T107" s="61"/>
      <c r="U107" s="61"/>
      <c r="V107" s="61"/>
      <c r="W107" s="61">
        <f t="shared" si="4"/>
      </c>
      <c r="X107" s="94">
        <f t="shared" si="5"/>
      </c>
      <c r="Y107" s="94">
        <f t="shared" si="6"/>
      </c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95"/>
      <c r="AM107" s="61"/>
      <c r="AN107" s="61"/>
      <c r="AO107" s="68"/>
      <c r="AP107" s="61"/>
      <c r="AQ107" s="61"/>
      <c r="AR107" s="61"/>
      <c r="AS107" s="61"/>
      <c r="AT107" s="61"/>
      <c r="AU107" s="61"/>
      <c r="AV107" s="92"/>
      <c r="AW107" s="92"/>
      <c r="AX107" s="93">
        <f t="shared" si="7"/>
      </c>
      <c r="AY107" s="61"/>
      <c r="AZ107" s="61"/>
      <c r="BA107" s="61"/>
      <c r="BB107" s="61"/>
      <c r="BC107" s="61">
        <f t="shared" si="11"/>
      </c>
      <c r="BD107" s="94">
        <f t="shared" si="12"/>
      </c>
      <c r="BE107" s="94">
        <f t="shared" si="13"/>
      </c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95"/>
      <c r="BS107" s="61"/>
      <c r="BT107" s="61"/>
    </row>
    <row r="108" ht="14.25" customHeight="1" spans="1:72" x14ac:dyDescent="0.25">
      <c r="A108" s="61">
        <f t="shared" si="0"/>
      </c>
      <c r="B108" s="61">
        <f t="array" ref="B108">IFERROR(INDEX('02_DS_Nhan_Viec'!$B:$B,MATCH(ROW()-1,'02_DS_Nhan_Viec'!$M:$M,0)),"")</f>
      </c>
      <c r="C108" s="61">
        <f t="array" ref="C108">IF($B108="","",IFERROR(INDEX('01_UngVien_PhongVan'!$D:$D,MATCH($B108,'01_UngVien_PhongVan'!$B:$B,0)),"Không tìm thấy mã ứng viên"))</f>
      </c>
      <c r="D108" s="61">
        <f t="array" ref="D108">IF($B108="","",IFERROR(INDEX('01_UngVien_PhongVan'!$R:$R,MATCH($B108,'01_UngVien_PhongVan'!$B:$B,0)),""))</f>
      </c>
      <c r="E108" s="61">
        <f t="array" ref="E108">IF($B108="","",IFERROR(INDEX('02_DS_Nhan_Viec'!$H:$H,MATCH($B108,'02_DS_Nhan_Viec'!$B:$B,0)),""))</f>
      </c>
      <c r="F108" s="68">
        <f t="array" ref="F108">IF($B108="","",IFERROR(INDEX('02_DS_Nhan_Viec'!$E:$E,MATCH($B108,'02_DS_Nhan_Viec'!$B:$B,0)),""))</f>
      </c>
      <c r="G108" s="68">
        <f t="shared" si="1"/>
      </c>
      <c r="H108" s="68">
        <f t="shared" si="2"/>
      </c>
      <c r="I108" s="68"/>
      <c r="J108" s="61"/>
      <c r="K108" s="61"/>
      <c r="L108" s="61"/>
      <c r="M108" s="61"/>
      <c r="N108" s="61"/>
      <c r="O108" s="61"/>
      <c r="P108" s="92"/>
      <c r="Q108" s="92"/>
      <c r="R108" s="93">
        <f t="shared" si="3"/>
      </c>
      <c r="S108" s="61"/>
      <c r="T108" s="61"/>
      <c r="U108" s="61"/>
      <c r="V108" s="61"/>
      <c r="W108" s="61">
        <f t="shared" si="4"/>
      </c>
      <c r="X108" s="94">
        <f t="shared" si="5"/>
      </c>
      <c r="Y108" s="94">
        <f t="shared" si="6"/>
      </c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95"/>
      <c r="AM108" s="61"/>
      <c r="AN108" s="61"/>
      <c r="AO108" s="68"/>
      <c r="AP108" s="61"/>
      <c r="AQ108" s="61"/>
      <c r="AR108" s="61"/>
      <c r="AS108" s="61"/>
      <c r="AT108" s="61"/>
      <c r="AU108" s="61"/>
      <c r="AV108" s="92"/>
      <c r="AW108" s="92"/>
      <c r="AX108" s="93">
        <f t="shared" si="7"/>
      </c>
      <c r="AY108" s="61"/>
      <c r="AZ108" s="61"/>
      <c r="BA108" s="61"/>
      <c r="BB108" s="61"/>
      <c r="BC108" s="61">
        <f t="shared" si="11"/>
      </c>
      <c r="BD108" s="94">
        <f t="shared" si="12"/>
      </c>
      <c r="BE108" s="94">
        <f t="shared" si="13"/>
      </c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95"/>
      <c r="BS108" s="61"/>
      <c r="BT108" s="61"/>
    </row>
    <row r="109" ht="14.25" customHeight="1" spans="1:72" x14ac:dyDescent="0.25">
      <c r="A109" s="61">
        <f t="shared" si="0"/>
      </c>
      <c r="B109" s="61">
        <f t="array" ref="B109">IFERROR(INDEX('02_DS_Nhan_Viec'!$B:$B,MATCH(ROW()-1,'02_DS_Nhan_Viec'!$M:$M,0)),"")</f>
      </c>
      <c r="C109" s="61">
        <f t="array" ref="C109">IF($B109="","",IFERROR(INDEX('01_UngVien_PhongVan'!$D:$D,MATCH($B109,'01_UngVien_PhongVan'!$B:$B,0)),"Không tìm thấy mã ứng viên"))</f>
      </c>
      <c r="D109" s="61">
        <f t="array" ref="D109">IF($B109="","",IFERROR(INDEX('01_UngVien_PhongVan'!$R:$R,MATCH($B109,'01_UngVien_PhongVan'!$B:$B,0)),""))</f>
      </c>
      <c r="E109" s="61">
        <f t="array" ref="E109">IF($B109="","",IFERROR(INDEX('02_DS_Nhan_Viec'!$H:$H,MATCH($B109,'02_DS_Nhan_Viec'!$B:$B,0)),""))</f>
      </c>
      <c r="F109" s="68">
        <f t="array" ref="F109">IF($B109="","",IFERROR(INDEX('02_DS_Nhan_Viec'!$E:$E,MATCH($B109,'02_DS_Nhan_Viec'!$B:$B,0)),""))</f>
      </c>
      <c r="G109" s="68">
        <f t="shared" si="1"/>
      </c>
      <c r="H109" s="68">
        <f t="shared" si="2"/>
      </c>
      <c r="I109" s="68"/>
      <c r="J109" s="61"/>
      <c r="K109" s="61"/>
      <c r="L109" s="61"/>
      <c r="M109" s="61"/>
      <c r="N109" s="61"/>
      <c r="O109" s="61"/>
      <c r="P109" s="92"/>
      <c r="Q109" s="92"/>
      <c r="R109" s="93">
        <f t="shared" si="3"/>
      </c>
      <c r="S109" s="61"/>
      <c r="T109" s="61"/>
      <c r="U109" s="61"/>
      <c r="V109" s="61"/>
      <c r="W109" s="61">
        <f t="shared" si="4"/>
      </c>
      <c r="X109" s="94">
        <f t="shared" si="5"/>
      </c>
      <c r="Y109" s="94">
        <f t="shared" si="6"/>
      </c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95"/>
      <c r="AM109" s="61"/>
      <c r="AN109" s="61"/>
      <c r="AO109" s="68"/>
      <c r="AP109" s="61"/>
      <c r="AQ109" s="61"/>
      <c r="AR109" s="61"/>
      <c r="AS109" s="61"/>
      <c r="AT109" s="61"/>
      <c r="AU109" s="61"/>
      <c r="AV109" s="92"/>
      <c r="AW109" s="92"/>
      <c r="AX109" s="93">
        <f t="shared" si="7"/>
      </c>
      <c r="AY109" s="61"/>
      <c r="AZ109" s="61"/>
      <c r="BA109" s="61"/>
      <c r="BB109" s="61"/>
      <c r="BC109" s="61">
        <f t="shared" si="11"/>
      </c>
      <c r="BD109" s="94">
        <f t="shared" si="12"/>
      </c>
      <c r="BE109" s="94">
        <f t="shared" si="13"/>
      </c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95"/>
      <c r="BS109" s="61"/>
      <c r="BT109" s="61"/>
    </row>
    <row r="110" ht="14.25" customHeight="1" spans="1:72" x14ac:dyDescent="0.25">
      <c r="A110" s="61">
        <f t="shared" si="0"/>
      </c>
      <c r="B110" s="61">
        <f t="array" ref="B110">IFERROR(INDEX('02_DS_Nhan_Viec'!$B:$B,MATCH(ROW()-1,'02_DS_Nhan_Viec'!$M:$M,0)),"")</f>
      </c>
      <c r="C110" s="61">
        <f t="array" ref="C110">IF($B110="","",IFERROR(INDEX('01_UngVien_PhongVan'!$D:$D,MATCH($B110,'01_UngVien_PhongVan'!$B:$B,0)),"Không tìm thấy mã ứng viên"))</f>
      </c>
      <c r="D110" s="61">
        <f t="array" ref="D110">IF($B110="","",IFERROR(INDEX('01_UngVien_PhongVan'!$R:$R,MATCH($B110,'01_UngVien_PhongVan'!$B:$B,0)),""))</f>
      </c>
      <c r="E110" s="61">
        <f t="array" ref="E110">IF($B110="","",IFERROR(INDEX('02_DS_Nhan_Viec'!$H:$H,MATCH($B110,'02_DS_Nhan_Viec'!$B:$B,0)),""))</f>
      </c>
      <c r="F110" s="68">
        <f t="array" ref="F110">IF($B110="","",IFERROR(INDEX('02_DS_Nhan_Viec'!$E:$E,MATCH($B110,'02_DS_Nhan_Viec'!$B:$B,0)),""))</f>
      </c>
      <c r="G110" s="68">
        <f t="shared" si="1"/>
      </c>
      <c r="H110" s="68">
        <f t="shared" si="2"/>
      </c>
      <c r="I110" s="68"/>
      <c r="J110" s="61"/>
      <c r="K110" s="61"/>
      <c r="L110" s="61"/>
      <c r="M110" s="61"/>
      <c r="N110" s="61"/>
      <c r="O110" s="61"/>
      <c r="P110" s="92"/>
      <c r="Q110" s="92"/>
      <c r="R110" s="93">
        <f t="shared" si="3"/>
      </c>
      <c r="S110" s="61"/>
      <c r="T110" s="61"/>
      <c r="U110" s="61"/>
      <c r="V110" s="61"/>
      <c r="W110" s="61">
        <f t="shared" si="4"/>
      </c>
      <c r="X110" s="94">
        <f t="shared" si="5"/>
      </c>
      <c r="Y110" s="94">
        <f t="shared" si="6"/>
      </c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95"/>
      <c r="AM110" s="61"/>
      <c r="AN110" s="61"/>
      <c r="AO110" s="68"/>
      <c r="AP110" s="61"/>
      <c r="AQ110" s="61"/>
      <c r="AR110" s="61"/>
      <c r="AS110" s="61"/>
      <c r="AT110" s="61"/>
      <c r="AU110" s="61"/>
      <c r="AV110" s="92"/>
      <c r="AW110" s="92"/>
      <c r="AX110" s="93">
        <f t="shared" si="7"/>
      </c>
      <c r="AY110" s="61"/>
      <c r="AZ110" s="61"/>
      <c r="BA110" s="61"/>
      <c r="BB110" s="61"/>
      <c r="BC110" s="61">
        <f t="shared" si="11"/>
      </c>
      <c r="BD110" s="94">
        <f t="shared" si="12"/>
      </c>
      <c r="BE110" s="94">
        <f t="shared" si="13"/>
      </c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95"/>
      <c r="BS110" s="61"/>
      <c r="BT110" s="61"/>
    </row>
    <row r="111" ht="14.25" customHeight="1" spans="1:72" x14ac:dyDescent="0.25">
      <c r="A111" s="61">
        <f t="shared" si="0"/>
      </c>
      <c r="B111" s="61">
        <f t="array" ref="B111">IFERROR(INDEX('02_DS_Nhan_Viec'!$B:$B,MATCH(ROW()-1,'02_DS_Nhan_Viec'!$M:$M,0)),"")</f>
      </c>
      <c r="C111" s="61">
        <f t="array" ref="C111">IF($B111="","",IFERROR(INDEX('01_UngVien_PhongVan'!$D:$D,MATCH($B111,'01_UngVien_PhongVan'!$B:$B,0)),"Không tìm thấy mã ứng viên"))</f>
      </c>
      <c r="D111" s="61">
        <f t="array" ref="D111">IF($B111="","",IFERROR(INDEX('01_UngVien_PhongVan'!$R:$R,MATCH($B111,'01_UngVien_PhongVan'!$B:$B,0)),""))</f>
      </c>
      <c r="E111" s="61">
        <f t="array" ref="E111">IF($B111="","",IFERROR(INDEX('02_DS_Nhan_Viec'!$H:$H,MATCH($B111,'02_DS_Nhan_Viec'!$B:$B,0)),""))</f>
      </c>
      <c r="F111" s="68">
        <f t="array" ref="F111">IF($B111="","",IFERROR(INDEX('02_DS_Nhan_Viec'!$E:$E,MATCH($B111,'02_DS_Nhan_Viec'!$B:$B,0)),""))</f>
      </c>
      <c r="G111" s="68">
        <f t="shared" si="1"/>
      </c>
      <c r="H111" s="68">
        <f t="shared" si="2"/>
      </c>
      <c r="I111" s="68"/>
      <c r="J111" s="61"/>
      <c r="K111" s="61"/>
      <c r="L111" s="61"/>
      <c r="M111" s="61"/>
      <c r="N111" s="61"/>
      <c r="O111" s="61"/>
      <c r="P111" s="92"/>
      <c r="Q111" s="92"/>
      <c r="R111" s="93">
        <f t="shared" si="3"/>
      </c>
      <c r="S111" s="61"/>
      <c r="T111" s="61"/>
      <c r="U111" s="61"/>
      <c r="V111" s="61"/>
      <c r="W111" s="61">
        <f t="shared" si="4"/>
      </c>
      <c r="X111" s="94">
        <f t="shared" si="5"/>
      </c>
      <c r="Y111" s="94">
        <f t="shared" si="6"/>
      </c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95"/>
      <c r="AM111" s="61"/>
      <c r="AN111" s="61"/>
      <c r="AO111" s="68"/>
      <c r="AP111" s="61"/>
      <c r="AQ111" s="61"/>
      <c r="AR111" s="61"/>
      <c r="AS111" s="61"/>
      <c r="AT111" s="61"/>
      <c r="AU111" s="61"/>
      <c r="AV111" s="92"/>
      <c r="AW111" s="92"/>
      <c r="AX111" s="93">
        <f t="shared" si="7"/>
      </c>
      <c r="AY111" s="61"/>
      <c r="AZ111" s="61"/>
      <c r="BA111" s="61"/>
      <c r="BB111" s="61"/>
      <c r="BC111" s="61">
        <f t="shared" si="11"/>
      </c>
      <c r="BD111" s="94">
        <f t="shared" si="12"/>
      </c>
      <c r="BE111" s="94">
        <f t="shared" si="13"/>
      </c>
      <c r="BF111" s="61"/>
      <c r="BG111" s="61"/>
      <c r="BH111" s="61"/>
      <c r="BI111" s="61"/>
      <c r="BJ111" s="61"/>
      <c r="BK111" s="61"/>
      <c r="BL111" s="61"/>
      <c r="BM111" s="61"/>
      <c r="BN111" s="61"/>
      <c r="BO111" s="61"/>
      <c r="BP111" s="61"/>
      <c r="BQ111" s="61"/>
      <c r="BR111" s="95"/>
      <c r="BS111" s="61"/>
      <c r="BT111" s="61"/>
    </row>
    <row r="112" ht="14.25" customHeight="1" spans="1:72" x14ac:dyDescent="0.25">
      <c r="A112" s="61">
        <f t="shared" si="0"/>
      </c>
      <c r="B112" s="61">
        <f t="array" ref="B112">IFERROR(INDEX('02_DS_Nhan_Viec'!$B:$B,MATCH(ROW()-1,'02_DS_Nhan_Viec'!$M:$M,0)),"")</f>
      </c>
      <c r="C112" s="61">
        <f t="array" ref="C112">IF($B112="","",IFERROR(INDEX('01_UngVien_PhongVan'!$D:$D,MATCH($B112,'01_UngVien_PhongVan'!$B:$B,0)),"Không tìm thấy mã ứng viên"))</f>
      </c>
      <c r="D112" s="61">
        <f t="array" ref="D112">IF($B112="","",IFERROR(INDEX('01_UngVien_PhongVan'!$R:$R,MATCH($B112,'01_UngVien_PhongVan'!$B:$B,0)),""))</f>
      </c>
      <c r="E112" s="61">
        <f t="array" ref="E112">IF($B112="","",IFERROR(INDEX('02_DS_Nhan_Viec'!$H:$H,MATCH($B112,'02_DS_Nhan_Viec'!$B:$B,0)),""))</f>
      </c>
      <c r="F112" s="68">
        <f t="array" ref="F112">IF($B112="","",IFERROR(INDEX('02_DS_Nhan_Viec'!$E:$E,MATCH($B112,'02_DS_Nhan_Viec'!$B:$B,0)),""))</f>
      </c>
      <c r="G112" s="68">
        <f t="shared" si="1"/>
      </c>
      <c r="H112" s="68">
        <f t="shared" si="2"/>
      </c>
      <c r="I112" s="68"/>
      <c r="J112" s="61"/>
      <c r="K112" s="61"/>
      <c r="L112" s="61"/>
      <c r="M112" s="61"/>
      <c r="N112" s="61"/>
      <c r="O112" s="61"/>
      <c r="P112" s="92"/>
      <c r="Q112" s="92"/>
      <c r="R112" s="93">
        <f t="shared" si="3"/>
      </c>
      <c r="S112" s="61"/>
      <c r="T112" s="61"/>
      <c r="U112" s="61"/>
      <c r="V112" s="61"/>
      <c r="W112" s="61">
        <f t="shared" si="4"/>
      </c>
      <c r="X112" s="94">
        <f t="shared" si="5"/>
      </c>
      <c r="Y112" s="94">
        <f t="shared" si="6"/>
      </c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95"/>
      <c r="AM112" s="61"/>
      <c r="AN112" s="61"/>
      <c r="AO112" s="68"/>
      <c r="AP112" s="61"/>
      <c r="AQ112" s="61"/>
      <c r="AR112" s="61"/>
      <c r="AS112" s="61"/>
      <c r="AT112" s="61"/>
      <c r="AU112" s="61"/>
      <c r="AV112" s="92"/>
      <c r="AW112" s="92"/>
      <c r="AX112" s="93">
        <f t="shared" si="7"/>
      </c>
      <c r="AY112" s="61"/>
      <c r="AZ112" s="61"/>
      <c r="BA112" s="61"/>
      <c r="BB112" s="61"/>
      <c r="BC112" s="61">
        <f t="shared" si="11"/>
      </c>
      <c r="BD112" s="94">
        <f t="shared" si="12"/>
      </c>
      <c r="BE112" s="94">
        <f t="shared" si="13"/>
      </c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95"/>
      <c r="BS112" s="61"/>
      <c r="BT112" s="61"/>
    </row>
    <row r="113" ht="14.25" customHeight="1" spans="1:72" x14ac:dyDescent="0.25">
      <c r="A113" s="61">
        <f t="shared" si="0"/>
      </c>
      <c r="B113" s="61">
        <f t="array" ref="B113">IFERROR(INDEX('02_DS_Nhan_Viec'!$B:$B,MATCH(ROW()-1,'02_DS_Nhan_Viec'!$M:$M,0)),"")</f>
      </c>
      <c r="C113" s="61">
        <f t="array" ref="C113">IF($B113="","",IFERROR(INDEX('01_UngVien_PhongVan'!$D:$D,MATCH($B113,'01_UngVien_PhongVan'!$B:$B,0)),"Không tìm thấy mã ứng viên"))</f>
      </c>
      <c r="D113" s="61">
        <f t="array" ref="D113">IF($B113="","",IFERROR(INDEX('01_UngVien_PhongVan'!$R:$R,MATCH($B113,'01_UngVien_PhongVan'!$B:$B,0)),""))</f>
      </c>
      <c r="E113" s="61">
        <f t="array" ref="E113">IF($B113="","",IFERROR(INDEX('02_DS_Nhan_Viec'!$H:$H,MATCH($B113,'02_DS_Nhan_Viec'!$B:$B,0)),""))</f>
      </c>
      <c r="F113" s="68">
        <f t="array" ref="F113">IF($B113="","",IFERROR(INDEX('02_DS_Nhan_Viec'!$E:$E,MATCH($B113,'02_DS_Nhan_Viec'!$B:$B,0)),""))</f>
      </c>
      <c r="G113" s="68">
        <f t="shared" si="1"/>
      </c>
      <c r="H113" s="68">
        <f t="shared" si="2"/>
      </c>
      <c r="I113" s="68"/>
      <c r="J113" s="61"/>
      <c r="K113" s="61"/>
      <c r="L113" s="61"/>
      <c r="M113" s="61"/>
      <c r="N113" s="61"/>
      <c r="O113" s="61"/>
      <c r="P113" s="92"/>
      <c r="Q113" s="92"/>
      <c r="R113" s="93">
        <f t="shared" si="3"/>
      </c>
      <c r="S113" s="61"/>
      <c r="T113" s="61"/>
      <c r="U113" s="61"/>
      <c r="V113" s="61"/>
      <c r="W113" s="61">
        <f t="shared" si="4"/>
      </c>
      <c r="X113" s="94">
        <f t="shared" si="5"/>
      </c>
      <c r="Y113" s="94">
        <f t="shared" si="6"/>
      </c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95"/>
      <c r="AM113" s="61"/>
      <c r="AN113" s="61"/>
      <c r="AO113" s="68"/>
      <c r="AP113" s="61"/>
      <c r="AQ113" s="61"/>
      <c r="AR113" s="61"/>
      <c r="AS113" s="61"/>
      <c r="AT113" s="61"/>
      <c r="AU113" s="61"/>
      <c r="AV113" s="92"/>
      <c r="AW113" s="92"/>
      <c r="AX113" s="93">
        <f t="shared" si="7"/>
      </c>
      <c r="AY113" s="61"/>
      <c r="AZ113" s="61"/>
      <c r="BA113" s="61"/>
      <c r="BB113" s="61"/>
      <c r="BC113" s="61">
        <f t="shared" si="11"/>
      </c>
      <c r="BD113" s="94">
        <f t="shared" si="12"/>
      </c>
      <c r="BE113" s="94">
        <f t="shared" si="13"/>
      </c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95"/>
      <c r="BS113" s="61"/>
      <c r="BT113" s="61"/>
    </row>
    <row r="114" ht="14.25" customHeight="1" spans="1:72" x14ac:dyDescent="0.25">
      <c r="A114" s="61">
        <f t="shared" si="0"/>
      </c>
      <c r="B114" s="61">
        <f t="array" ref="B114">IFERROR(INDEX('02_DS_Nhan_Viec'!$B:$B,MATCH(ROW()-1,'02_DS_Nhan_Viec'!$M:$M,0)),"")</f>
      </c>
      <c r="C114" s="61">
        <f t="array" ref="C114">IF($B114="","",IFERROR(INDEX('01_UngVien_PhongVan'!$D:$D,MATCH($B114,'01_UngVien_PhongVan'!$B:$B,0)),"Không tìm thấy mã ứng viên"))</f>
      </c>
      <c r="D114" s="61">
        <f t="array" ref="D114">IF($B114="","",IFERROR(INDEX('01_UngVien_PhongVan'!$R:$R,MATCH($B114,'01_UngVien_PhongVan'!$B:$B,0)),""))</f>
      </c>
      <c r="E114" s="61">
        <f t="array" ref="E114">IF($B114="","",IFERROR(INDEX('02_DS_Nhan_Viec'!$H:$H,MATCH($B114,'02_DS_Nhan_Viec'!$B:$B,0)),""))</f>
      </c>
      <c r="F114" s="68">
        <f t="array" ref="F114">IF($B114="","",IFERROR(INDEX('02_DS_Nhan_Viec'!$E:$E,MATCH($B114,'02_DS_Nhan_Viec'!$B:$B,0)),""))</f>
      </c>
      <c r="G114" s="68">
        <f t="shared" si="1"/>
      </c>
      <c r="H114" s="68">
        <f t="shared" si="2"/>
      </c>
      <c r="I114" s="68"/>
      <c r="J114" s="61"/>
      <c r="K114" s="61"/>
      <c r="L114" s="61"/>
      <c r="M114" s="61"/>
      <c r="N114" s="61"/>
      <c r="O114" s="61"/>
      <c r="P114" s="92"/>
      <c r="Q114" s="92"/>
      <c r="R114" s="93">
        <f t="shared" si="3"/>
      </c>
      <c r="S114" s="61"/>
      <c r="T114" s="61"/>
      <c r="U114" s="61"/>
      <c r="V114" s="61"/>
      <c r="W114" s="61">
        <f t="shared" si="4"/>
      </c>
      <c r="X114" s="94">
        <f t="shared" si="5"/>
      </c>
      <c r="Y114" s="94">
        <f t="shared" si="6"/>
      </c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95"/>
      <c r="AM114" s="61"/>
      <c r="AN114" s="61"/>
      <c r="AO114" s="68"/>
      <c r="AP114" s="61"/>
      <c r="AQ114" s="61"/>
      <c r="AR114" s="61"/>
      <c r="AS114" s="61"/>
      <c r="AT114" s="61"/>
      <c r="AU114" s="61"/>
      <c r="AV114" s="92"/>
      <c r="AW114" s="92"/>
      <c r="AX114" s="93">
        <f t="shared" si="7"/>
      </c>
      <c r="AY114" s="61"/>
      <c r="AZ114" s="61"/>
      <c r="BA114" s="61"/>
      <c r="BB114" s="61"/>
      <c r="BC114" s="61">
        <f t="shared" si="11"/>
      </c>
      <c r="BD114" s="94">
        <f t="shared" si="12"/>
      </c>
      <c r="BE114" s="94">
        <f t="shared" si="13"/>
      </c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95"/>
      <c r="BS114" s="61"/>
      <c r="BT114" s="61"/>
    </row>
    <row r="115" ht="14.25" customHeight="1" spans="1:72" x14ac:dyDescent="0.25">
      <c r="A115" s="61">
        <f t="shared" si="0"/>
      </c>
      <c r="B115" s="61">
        <f t="array" ref="B115">IFERROR(INDEX('02_DS_Nhan_Viec'!$B:$B,MATCH(ROW()-1,'02_DS_Nhan_Viec'!$M:$M,0)),"")</f>
      </c>
      <c r="C115" s="61">
        <f t="array" ref="C115">IF($B115="","",IFERROR(INDEX('01_UngVien_PhongVan'!$D:$D,MATCH($B115,'01_UngVien_PhongVan'!$B:$B,0)),"Không tìm thấy mã ứng viên"))</f>
      </c>
      <c r="D115" s="61">
        <f t="array" ref="D115">IF($B115="","",IFERROR(INDEX('01_UngVien_PhongVan'!$R:$R,MATCH($B115,'01_UngVien_PhongVan'!$B:$B,0)),""))</f>
      </c>
      <c r="E115" s="61">
        <f t="array" ref="E115">IF($B115="","",IFERROR(INDEX('02_DS_Nhan_Viec'!$H:$H,MATCH($B115,'02_DS_Nhan_Viec'!$B:$B,0)),""))</f>
      </c>
      <c r="F115" s="68">
        <f t="array" ref="F115">IF($B115="","",IFERROR(INDEX('02_DS_Nhan_Viec'!$E:$E,MATCH($B115,'02_DS_Nhan_Viec'!$B:$B,0)),""))</f>
      </c>
      <c r="G115" s="68">
        <f t="shared" si="1"/>
      </c>
      <c r="H115" s="68">
        <f t="shared" si="2"/>
      </c>
      <c r="I115" s="68"/>
      <c r="J115" s="61"/>
      <c r="K115" s="61"/>
      <c r="L115" s="61"/>
      <c r="M115" s="61"/>
      <c r="N115" s="61"/>
      <c r="O115" s="61"/>
      <c r="P115" s="92"/>
      <c r="Q115" s="92"/>
      <c r="R115" s="93">
        <f t="shared" si="3"/>
      </c>
      <c r="S115" s="61"/>
      <c r="T115" s="61"/>
      <c r="U115" s="61"/>
      <c r="V115" s="61"/>
      <c r="W115" s="61">
        <f t="shared" si="4"/>
      </c>
      <c r="X115" s="94">
        <f t="shared" si="5"/>
      </c>
      <c r="Y115" s="94">
        <f t="shared" si="6"/>
      </c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95"/>
      <c r="AM115" s="61"/>
      <c r="AN115" s="61"/>
      <c r="AO115" s="68"/>
      <c r="AP115" s="61"/>
      <c r="AQ115" s="61"/>
      <c r="AR115" s="61"/>
      <c r="AS115" s="61"/>
      <c r="AT115" s="61"/>
      <c r="AU115" s="61"/>
      <c r="AV115" s="92"/>
      <c r="AW115" s="92"/>
      <c r="AX115" s="93">
        <f t="shared" si="7"/>
      </c>
      <c r="AY115" s="61"/>
      <c r="AZ115" s="61"/>
      <c r="BA115" s="61"/>
      <c r="BB115" s="61"/>
      <c r="BC115" s="61">
        <f t="shared" si="11"/>
      </c>
      <c r="BD115" s="94">
        <f t="shared" si="12"/>
      </c>
      <c r="BE115" s="94">
        <f t="shared" si="13"/>
      </c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95"/>
      <c r="BS115" s="61"/>
      <c r="BT115" s="61"/>
    </row>
    <row r="116" ht="14.25" customHeight="1" spans="1:72" x14ac:dyDescent="0.25">
      <c r="A116" s="61">
        <f t="shared" si="0"/>
      </c>
      <c r="B116" s="61">
        <f t="array" ref="B116">IFERROR(INDEX('02_DS_Nhan_Viec'!$B:$B,MATCH(ROW()-1,'02_DS_Nhan_Viec'!$M:$M,0)),"")</f>
      </c>
      <c r="C116" s="61">
        <f t="array" ref="C116">IF($B116="","",IFERROR(INDEX('01_UngVien_PhongVan'!$D:$D,MATCH($B116,'01_UngVien_PhongVan'!$B:$B,0)),"Không tìm thấy mã ứng viên"))</f>
      </c>
      <c r="D116" s="61">
        <f t="array" ref="D116">IF($B116="","",IFERROR(INDEX('01_UngVien_PhongVan'!$R:$R,MATCH($B116,'01_UngVien_PhongVan'!$B:$B,0)),""))</f>
      </c>
      <c r="E116" s="61">
        <f t="array" ref="E116">IF($B116="","",IFERROR(INDEX('02_DS_Nhan_Viec'!$H:$H,MATCH($B116,'02_DS_Nhan_Viec'!$B:$B,0)),""))</f>
      </c>
      <c r="F116" s="68">
        <f t="array" ref="F116">IF($B116="","",IFERROR(INDEX('02_DS_Nhan_Viec'!$E:$E,MATCH($B116,'02_DS_Nhan_Viec'!$B:$B,0)),""))</f>
      </c>
      <c r="G116" s="68">
        <f t="shared" si="1"/>
      </c>
      <c r="H116" s="68">
        <f t="shared" si="2"/>
      </c>
      <c r="I116" s="68"/>
      <c r="J116" s="61"/>
      <c r="K116" s="61"/>
      <c r="L116" s="61"/>
      <c r="M116" s="61"/>
      <c r="N116" s="61"/>
      <c r="O116" s="61"/>
      <c r="P116" s="92"/>
      <c r="Q116" s="92"/>
      <c r="R116" s="93">
        <f t="shared" si="3"/>
      </c>
      <c r="S116" s="61"/>
      <c r="T116" s="61"/>
      <c r="U116" s="61"/>
      <c r="V116" s="61"/>
      <c r="W116" s="61">
        <f t="shared" si="4"/>
      </c>
      <c r="X116" s="94">
        <f t="shared" si="5"/>
      </c>
      <c r="Y116" s="94">
        <f t="shared" si="6"/>
      </c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95"/>
      <c r="AM116" s="61"/>
      <c r="AN116" s="61"/>
      <c r="AO116" s="68"/>
      <c r="AP116" s="61"/>
      <c r="AQ116" s="61"/>
      <c r="AR116" s="61"/>
      <c r="AS116" s="61"/>
      <c r="AT116" s="61"/>
      <c r="AU116" s="61"/>
      <c r="AV116" s="92"/>
      <c r="AW116" s="92"/>
      <c r="AX116" s="93">
        <f t="shared" si="7"/>
      </c>
      <c r="AY116" s="61"/>
      <c r="AZ116" s="61"/>
      <c r="BA116" s="61"/>
      <c r="BB116" s="61"/>
      <c r="BC116" s="61">
        <f t="shared" si="11"/>
      </c>
      <c r="BD116" s="94">
        <f t="shared" si="12"/>
      </c>
      <c r="BE116" s="94">
        <f t="shared" si="13"/>
      </c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95"/>
      <c r="BS116" s="61"/>
      <c r="BT116" s="61"/>
    </row>
    <row r="117" ht="14.25" customHeight="1" spans="1:72" x14ac:dyDescent="0.25">
      <c r="A117" s="61">
        <f t="shared" si="0"/>
      </c>
      <c r="B117" s="61">
        <f t="array" ref="B117">IFERROR(INDEX('02_DS_Nhan_Viec'!$B:$B,MATCH(ROW()-1,'02_DS_Nhan_Viec'!$M:$M,0)),"")</f>
      </c>
      <c r="C117" s="61">
        <f t="array" ref="C117">IF($B117="","",IFERROR(INDEX('01_UngVien_PhongVan'!$D:$D,MATCH($B117,'01_UngVien_PhongVan'!$B:$B,0)),"Không tìm thấy mã ứng viên"))</f>
      </c>
      <c r="D117" s="61">
        <f t="array" ref="D117">IF($B117="","",IFERROR(INDEX('01_UngVien_PhongVan'!$R:$R,MATCH($B117,'01_UngVien_PhongVan'!$B:$B,0)),""))</f>
      </c>
      <c r="E117" s="61">
        <f t="array" ref="E117">IF($B117="","",IFERROR(INDEX('02_DS_Nhan_Viec'!$H:$H,MATCH($B117,'02_DS_Nhan_Viec'!$B:$B,0)),""))</f>
      </c>
      <c r="F117" s="68">
        <f t="array" ref="F117">IF($B117="","",IFERROR(INDEX('02_DS_Nhan_Viec'!$E:$E,MATCH($B117,'02_DS_Nhan_Viec'!$B:$B,0)),""))</f>
      </c>
      <c r="G117" s="68">
        <f t="shared" si="1"/>
      </c>
      <c r="H117" s="68">
        <f t="shared" si="2"/>
      </c>
      <c r="I117" s="68"/>
      <c r="J117" s="61"/>
      <c r="K117" s="61"/>
      <c r="L117" s="61"/>
      <c r="M117" s="61"/>
      <c r="N117" s="61"/>
      <c r="O117" s="61"/>
      <c r="P117" s="92"/>
      <c r="Q117" s="92"/>
      <c r="R117" s="93">
        <f t="shared" si="3"/>
      </c>
      <c r="S117" s="61"/>
      <c r="T117" s="61"/>
      <c r="U117" s="61"/>
      <c r="V117" s="61"/>
      <c r="W117" s="61">
        <f t="shared" si="4"/>
      </c>
      <c r="X117" s="94">
        <f t="shared" si="5"/>
      </c>
      <c r="Y117" s="94">
        <f t="shared" si="6"/>
      </c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95"/>
      <c r="AM117" s="61"/>
      <c r="AN117" s="61"/>
      <c r="AO117" s="68"/>
      <c r="AP117" s="61"/>
      <c r="AQ117" s="61"/>
      <c r="AR117" s="61"/>
      <c r="AS117" s="61"/>
      <c r="AT117" s="61"/>
      <c r="AU117" s="61"/>
      <c r="AV117" s="92"/>
      <c r="AW117" s="92"/>
      <c r="AX117" s="93">
        <f t="shared" si="7"/>
      </c>
      <c r="AY117" s="61"/>
      <c r="AZ117" s="61"/>
      <c r="BA117" s="61"/>
      <c r="BB117" s="61"/>
      <c r="BC117" s="61">
        <f t="shared" si="11"/>
      </c>
      <c r="BD117" s="94">
        <f t="shared" si="12"/>
      </c>
      <c r="BE117" s="94">
        <f t="shared" si="13"/>
      </c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95"/>
      <c r="BS117" s="61"/>
      <c r="BT117" s="61"/>
    </row>
    <row r="118" ht="14.25" customHeight="1" spans="1:72" x14ac:dyDescent="0.25">
      <c r="A118" s="61">
        <f t="shared" si="0"/>
      </c>
      <c r="B118" s="61">
        <f t="array" ref="B118">IFERROR(INDEX('02_DS_Nhan_Viec'!$B:$B,MATCH(ROW()-1,'02_DS_Nhan_Viec'!$M:$M,0)),"")</f>
      </c>
      <c r="C118" s="61">
        <f t="array" ref="C118">IF($B118="","",IFERROR(INDEX('01_UngVien_PhongVan'!$D:$D,MATCH($B118,'01_UngVien_PhongVan'!$B:$B,0)),"Không tìm thấy mã ứng viên"))</f>
      </c>
      <c r="D118" s="61">
        <f t="array" ref="D118">IF($B118="","",IFERROR(INDEX('01_UngVien_PhongVan'!$R:$R,MATCH($B118,'01_UngVien_PhongVan'!$B:$B,0)),""))</f>
      </c>
      <c r="E118" s="61">
        <f t="array" ref="E118">IF($B118="","",IFERROR(INDEX('02_DS_Nhan_Viec'!$H:$H,MATCH($B118,'02_DS_Nhan_Viec'!$B:$B,0)),""))</f>
      </c>
      <c r="F118" s="68">
        <f t="array" ref="F118">IF($B118="","",IFERROR(INDEX('02_DS_Nhan_Viec'!$E:$E,MATCH($B118,'02_DS_Nhan_Viec'!$B:$B,0)),""))</f>
      </c>
      <c r="G118" s="68">
        <f t="shared" si="1"/>
      </c>
      <c r="H118" s="68">
        <f t="shared" si="2"/>
      </c>
      <c r="I118" s="68"/>
      <c r="J118" s="61"/>
      <c r="K118" s="61"/>
      <c r="L118" s="61"/>
      <c r="M118" s="61"/>
      <c r="N118" s="61"/>
      <c r="O118" s="61"/>
      <c r="P118" s="92"/>
      <c r="Q118" s="92"/>
      <c r="R118" s="93">
        <f t="shared" si="3"/>
      </c>
      <c r="S118" s="61"/>
      <c r="T118" s="61"/>
      <c r="U118" s="61"/>
      <c r="V118" s="61"/>
      <c r="W118" s="61">
        <f t="shared" si="4"/>
      </c>
      <c r="X118" s="94">
        <f t="shared" si="5"/>
      </c>
      <c r="Y118" s="94">
        <f t="shared" si="6"/>
      </c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95"/>
      <c r="AM118" s="61"/>
      <c r="AN118" s="61"/>
      <c r="AO118" s="68"/>
      <c r="AP118" s="61"/>
      <c r="AQ118" s="61"/>
      <c r="AR118" s="61"/>
      <c r="AS118" s="61"/>
      <c r="AT118" s="61"/>
      <c r="AU118" s="61"/>
      <c r="AV118" s="92"/>
      <c r="AW118" s="92"/>
      <c r="AX118" s="93">
        <f t="shared" si="7"/>
      </c>
      <c r="AY118" s="61"/>
      <c r="AZ118" s="61"/>
      <c r="BA118" s="61"/>
      <c r="BB118" s="61"/>
      <c r="BC118" s="61">
        <f t="shared" si="11"/>
      </c>
      <c r="BD118" s="94">
        <f t="shared" si="12"/>
      </c>
      <c r="BE118" s="94">
        <f t="shared" si="13"/>
      </c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95"/>
      <c r="BS118" s="61"/>
      <c r="BT118" s="61"/>
    </row>
    <row r="119" ht="14.25" customHeight="1" spans="1:72" x14ac:dyDescent="0.25">
      <c r="A119" s="61">
        <f t="shared" si="0"/>
      </c>
      <c r="B119" s="61">
        <f t="array" ref="B119">IFERROR(INDEX('02_DS_Nhan_Viec'!$B:$B,MATCH(ROW()-1,'02_DS_Nhan_Viec'!$M:$M,0)),"")</f>
      </c>
      <c r="C119" s="61">
        <f t="array" ref="C119">IF($B119="","",IFERROR(INDEX('01_UngVien_PhongVan'!$D:$D,MATCH($B119,'01_UngVien_PhongVan'!$B:$B,0)),"Không tìm thấy mã ứng viên"))</f>
      </c>
      <c r="D119" s="61">
        <f t="array" ref="D119">IF($B119="","",IFERROR(INDEX('01_UngVien_PhongVan'!$R:$R,MATCH($B119,'01_UngVien_PhongVan'!$B:$B,0)),""))</f>
      </c>
      <c r="E119" s="61">
        <f t="array" ref="E119">IF($B119="","",IFERROR(INDEX('02_DS_Nhan_Viec'!$H:$H,MATCH($B119,'02_DS_Nhan_Viec'!$B:$B,0)),""))</f>
      </c>
      <c r="F119" s="68">
        <f t="array" ref="F119">IF($B119="","",IFERROR(INDEX('02_DS_Nhan_Viec'!$E:$E,MATCH($B119,'02_DS_Nhan_Viec'!$B:$B,0)),""))</f>
      </c>
      <c r="G119" s="68">
        <f t="shared" si="1"/>
      </c>
      <c r="H119" s="68">
        <f t="shared" si="2"/>
      </c>
      <c r="I119" s="68"/>
      <c r="J119" s="61"/>
      <c r="K119" s="61"/>
      <c r="L119" s="61"/>
      <c r="M119" s="61"/>
      <c r="N119" s="61"/>
      <c r="O119" s="61"/>
      <c r="P119" s="92"/>
      <c r="Q119" s="92"/>
      <c r="R119" s="93">
        <f t="shared" si="3"/>
      </c>
      <c r="S119" s="61"/>
      <c r="T119" s="61"/>
      <c r="U119" s="61"/>
      <c r="V119" s="61"/>
      <c r="W119" s="61">
        <f t="shared" si="4"/>
      </c>
      <c r="X119" s="94">
        <f t="shared" si="5"/>
      </c>
      <c r="Y119" s="94">
        <f t="shared" si="6"/>
      </c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95"/>
      <c r="AM119" s="61"/>
      <c r="AN119" s="61"/>
      <c r="AO119" s="68"/>
      <c r="AP119" s="61"/>
      <c r="AQ119" s="61"/>
      <c r="AR119" s="61"/>
      <c r="AS119" s="61"/>
      <c r="AT119" s="61"/>
      <c r="AU119" s="61"/>
      <c r="AV119" s="92"/>
      <c r="AW119" s="92"/>
      <c r="AX119" s="93">
        <f t="shared" si="7"/>
      </c>
      <c r="AY119" s="61"/>
      <c r="AZ119" s="61"/>
      <c r="BA119" s="61"/>
      <c r="BB119" s="61"/>
      <c r="BC119" s="61">
        <f t="shared" si="11"/>
      </c>
      <c r="BD119" s="94">
        <f t="shared" si="12"/>
      </c>
      <c r="BE119" s="94">
        <f t="shared" si="13"/>
      </c>
      <c r="BF119" s="61"/>
      <c r="BG119" s="61"/>
      <c r="BH119" s="61"/>
      <c r="BI119" s="61"/>
      <c r="BJ119" s="61"/>
      <c r="BK119" s="61"/>
      <c r="BL119" s="61"/>
      <c r="BM119" s="61"/>
      <c r="BN119" s="61"/>
      <c r="BO119" s="61"/>
      <c r="BP119" s="61"/>
      <c r="BQ119" s="61"/>
      <c r="BR119" s="95"/>
      <c r="BS119" s="61"/>
      <c r="BT119" s="61"/>
    </row>
    <row r="120" ht="14.25" customHeight="1" spans="1:72" x14ac:dyDescent="0.25">
      <c r="A120" s="61">
        <f t="shared" si="0"/>
      </c>
      <c r="B120" s="61">
        <f t="array" ref="B120">IFERROR(INDEX('02_DS_Nhan_Viec'!$B:$B,MATCH(ROW()-1,'02_DS_Nhan_Viec'!$M:$M,0)),"")</f>
      </c>
      <c r="C120" s="61">
        <f t="array" ref="C120">IF($B120="","",IFERROR(INDEX('01_UngVien_PhongVan'!$D:$D,MATCH($B120,'01_UngVien_PhongVan'!$B:$B,0)),"Không tìm thấy mã ứng viên"))</f>
      </c>
      <c r="D120" s="61">
        <f t="array" ref="D120">IF($B120="","",IFERROR(INDEX('01_UngVien_PhongVan'!$R:$R,MATCH($B120,'01_UngVien_PhongVan'!$B:$B,0)),""))</f>
      </c>
      <c r="E120" s="61">
        <f t="array" ref="E120">IF($B120="","",IFERROR(INDEX('02_DS_Nhan_Viec'!$H:$H,MATCH($B120,'02_DS_Nhan_Viec'!$B:$B,0)),""))</f>
      </c>
      <c r="F120" s="68">
        <f t="array" ref="F120">IF($B120="","",IFERROR(INDEX('02_DS_Nhan_Viec'!$E:$E,MATCH($B120,'02_DS_Nhan_Viec'!$B:$B,0)),""))</f>
      </c>
      <c r="G120" s="68">
        <f t="shared" si="1"/>
      </c>
      <c r="H120" s="68">
        <f t="shared" si="2"/>
      </c>
      <c r="I120" s="68"/>
      <c r="J120" s="61"/>
      <c r="K120" s="61"/>
      <c r="L120" s="61"/>
      <c r="M120" s="61"/>
      <c r="N120" s="61"/>
      <c r="O120" s="61"/>
      <c r="P120" s="92"/>
      <c r="Q120" s="92"/>
      <c r="R120" s="93">
        <f t="shared" si="3"/>
      </c>
      <c r="S120" s="61"/>
      <c r="T120" s="61"/>
      <c r="U120" s="61"/>
      <c r="V120" s="61"/>
      <c r="W120" s="61">
        <f t="shared" si="4"/>
      </c>
      <c r="X120" s="94">
        <f t="shared" si="5"/>
      </c>
      <c r="Y120" s="94">
        <f t="shared" si="6"/>
      </c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95"/>
      <c r="AM120" s="61"/>
      <c r="AN120" s="61"/>
      <c r="AO120" s="68"/>
      <c r="AP120" s="61"/>
      <c r="AQ120" s="61"/>
      <c r="AR120" s="61"/>
      <c r="AS120" s="61"/>
      <c r="AT120" s="61"/>
      <c r="AU120" s="61"/>
      <c r="AV120" s="92"/>
      <c r="AW120" s="92"/>
      <c r="AX120" s="93">
        <f t="shared" si="7"/>
      </c>
      <c r="AY120" s="61"/>
      <c r="AZ120" s="61"/>
      <c r="BA120" s="61"/>
      <c r="BB120" s="61"/>
      <c r="BC120" s="61">
        <f t="shared" si="11"/>
      </c>
      <c r="BD120" s="94">
        <f t="shared" si="12"/>
      </c>
      <c r="BE120" s="94">
        <f t="shared" si="13"/>
      </c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95"/>
      <c r="BS120" s="61"/>
      <c r="BT120" s="61"/>
    </row>
    <row r="121" ht="14.25" customHeight="1" spans="1:72" x14ac:dyDescent="0.25">
      <c r="A121" s="61">
        <f t="shared" si="0"/>
      </c>
      <c r="B121" s="61">
        <f t="array" ref="B121">IFERROR(INDEX('02_DS_Nhan_Viec'!$B:$B,MATCH(ROW()-1,'02_DS_Nhan_Viec'!$M:$M,0)),"")</f>
      </c>
      <c r="C121" s="61">
        <f t="array" ref="C121">IF($B121="","",IFERROR(INDEX('01_UngVien_PhongVan'!$D:$D,MATCH($B121,'01_UngVien_PhongVan'!$B:$B,0)),"Không tìm thấy mã ứng viên"))</f>
      </c>
      <c r="D121" s="61">
        <f t="array" ref="D121">IF($B121="","",IFERROR(INDEX('01_UngVien_PhongVan'!$R:$R,MATCH($B121,'01_UngVien_PhongVan'!$B:$B,0)),""))</f>
      </c>
      <c r="E121" s="61">
        <f t="array" ref="E121">IF($B121="","",IFERROR(INDEX('02_DS_Nhan_Viec'!$H:$H,MATCH($B121,'02_DS_Nhan_Viec'!$B:$B,0)),""))</f>
      </c>
      <c r="F121" s="68">
        <f t="array" ref="F121">IF($B121="","",IFERROR(INDEX('02_DS_Nhan_Viec'!$E:$E,MATCH($B121,'02_DS_Nhan_Viec'!$B:$B,0)),""))</f>
      </c>
      <c r="G121" s="68">
        <f t="shared" si="1"/>
      </c>
      <c r="H121" s="68">
        <f t="shared" si="2"/>
      </c>
      <c r="I121" s="68"/>
      <c r="J121" s="61"/>
      <c r="K121" s="61"/>
      <c r="L121" s="61"/>
      <c r="M121" s="61"/>
      <c r="N121" s="61"/>
      <c r="O121" s="61"/>
      <c r="P121" s="92"/>
      <c r="Q121" s="92"/>
      <c r="R121" s="93">
        <f t="shared" si="3"/>
      </c>
      <c r="S121" s="61"/>
      <c r="T121" s="61"/>
      <c r="U121" s="61"/>
      <c r="V121" s="61"/>
      <c r="W121" s="61">
        <f t="shared" si="4"/>
      </c>
      <c r="X121" s="94">
        <f t="shared" si="5"/>
      </c>
      <c r="Y121" s="94">
        <f t="shared" si="6"/>
      </c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95"/>
      <c r="AM121" s="61"/>
      <c r="AN121" s="61"/>
      <c r="AO121" s="68"/>
      <c r="AP121" s="61"/>
      <c r="AQ121" s="61"/>
      <c r="AR121" s="61"/>
      <c r="AS121" s="61"/>
      <c r="AT121" s="61"/>
      <c r="AU121" s="61"/>
      <c r="AV121" s="92"/>
      <c r="AW121" s="92"/>
      <c r="AX121" s="93">
        <f t="shared" si="7"/>
      </c>
      <c r="AY121" s="61"/>
      <c r="AZ121" s="61"/>
      <c r="BA121" s="61"/>
      <c r="BB121" s="61"/>
      <c r="BC121" s="61">
        <f t="shared" si="11"/>
      </c>
      <c r="BD121" s="94">
        <f t="shared" si="12"/>
      </c>
      <c r="BE121" s="94">
        <f t="shared" si="13"/>
      </c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95"/>
      <c r="BS121" s="61"/>
      <c r="BT121" s="61"/>
    </row>
    <row r="122" ht="14.25" customHeight="1" spans="1:72" x14ac:dyDescent="0.25">
      <c r="A122" s="61">
        <f t="shared" si="0"/>
      </c>
      <c r="B122" s="61">
        <f t="array" ref="B122">IFERROR(INDEX('02_DS_Nhan_Viec'!$B:$B,MATCH(ROW()-1,'02_DS_Nhan_Viec'!$M:$M,0)),"")</f>
      </c>
      <c r="C122" s="61">
        <f t="array" ref="C122">IF($B122="","",IFERROR(INDEX('01_UngVien_PhongVan'!$D:$D,MATCH($B122,'01_UngVien_PhongVan'!$B:$B,0)),"Không tìm thấy mã ứng viên"))</f>
      </c>
      <c r="D122" s="61">
        <f t="array" ref="D122">IF($B122="","",IFERROR(INDEX('01_UngVien_PhongVan'!$R:$R,MATCH($B122,'01_UngVien_PhongVan'!$B:$B,0)),""))</f>
      </c>
      <c r="E122" s="61">
        <f t="array" ref="E122">IF($B122="","",IFERROR(INDEX('02_DS_Nhan_Viec'!$H:$H,MATCH($B122,'02_DS_Nhan_Viec'!$B:$B,0)),""))</f>
      </c>
      <c r="F122" s="68">
        <f t="array" ref="F122">IF($B122="","",IFERROR(INDEX('02_DS_Nhan_Viec'!$E:$E,MATCH($B122,'02_DS_Nhan_Viec'!$B:$B,0)),""))</f>
      </c>
      <c r="G122" s="68">
        <f t="shared" si="1"/>
      </c>
      <c r="H122" s="68">
        <f t="shared" si="2"/>
      </c>
      <c r="I122" s="68"/>
      <c r="J122" s="61"/>
      <c r="K122" s="61"/>
      <c r="L122" s="61"/>
      <c r="M122" s="61"/>
      <c r="N122" s="61"/>
      <c r="O122" s="61"/>
      <c r="P122" s="92"/>
      <c r="Q122" s="92"/>
      <c r="R122" s="93">
        <f t="shared" si="3"/>
      </c>
      <c r="S122" s="61"/>
      <c r="T122" s="61"/>
      <c r="U122" s="61"/>
      <c r="V122" s="61"/>
      <c r="W122" s="61">
        <f t="shared" si="4"/>
      </c>
      <c r="X122" s="94">
        <f t="shared" si="5"/>
      </c>
      <c r="Y122" s="94">
        <f t="shared" si="6"/>
      </c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95"/>
      <c r="AM122" s="61"/>
      <c r="AN122" s="61"/>
      <c r="AO122" s="68"/>
      <c r="AP122" s="61"/>
      <c r="AQ122" s="61"/>
      <c r="AR122" s="61"/>
      <c r="AS122" s="61"/>
      <c r="AT122" s="61"/>
      <c r="AU122" s="61"/>
      <c r="AV122" s="92"/>
      <c r="AW122" s="92"/>
      <c r="AX122" s="93">
        <f t="shared" si="7"/>
      </c>
      <c r="AY122" s="61"/>
      <c r="AZ122" s="61"/>
      <c r="BA122" s="61"/>
      <c r="BB122" s="61"/>
      <c r="BC122" s="61">
        <f t="shared" si="11"/>
      </c>
      <c r="BD122" s="94">
        <f t="shared" si="12"/>
      </c>
      <c r="BE122" s="94">
        <f t="shared" si="13"/>
      </c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95"/>
      <c r="BS122" s="61"/>
      <c r="BT122" s="61"/>
    </row>
    <row r="123" ht="14.25" customHeight="1" spans="1:72" x14ac:dyDescent="0.25">
      <c r="A123" s="61">
        <f t="shared" si="0"/>
      </c>
      <c r="B123" s="61">
        <f t="array" ref="B123">IFERROR(INDEX('02_DS_Nhan_Viec'!$B:$B,MATCH(ROW()-1,'02_DS_Nhan_Viec'!$M:$M,0)),"")</f>
      </c>
      <c r="C123" s="61">
        <f t="array" ref="C123">IF($B123="","",IFERROR(INDEX('01_UngVien_PhongVan'!$D:$D,MATCH($B123,'01_UngVien_PhongVan'!$B:$B,0)),"Không tìm thấy mã ứng viên"))</f>
      </c>
      <c r="D123" s="61">
        <f t="array" ref="D123">IF($B123="","",IFERROR(INDEX('01_UngVien_PhongVan'!$R:$R,MATCH($B123,'01_UngVien_PhongVan'!$B:$B,0)),""))</f>
      </c>
      <c r="E123" s="61">
        <f t="array" ref="E123">IF($B123="","",IFERROR(INDEX('02_DS_Nhan_Viec'!$H:$H,MATCH($B123,'02_DS_Nhan_Viec'!$B:$B,0)),""))</f>
      </c>
      <c r="F123" s="68">
        <f t="array" ref="F123">IF($B123="","",IFERROR(INDEX('02_DS_Nhan_Viec'!$E:$E,MATCH($B123,'02_DS_Nhan_Viec'!$B:$B,0)),""))</f>
      </c>
      <c r="G123" s="68">
        <f t="shared" si="1"/>
      </c>
      <c r="H123" s="68">
        <f t="shared" si="2"/>
      </c>
      <c r="I123" s="68"/>
      <c r="J123" s="61"/>
      <c r="K123" s="61"/>
      <c r="L123" s="61"/>
      <c r="M123" s="61"/>
      <c r="N123" s="61"/>
      <c r="O123" s="61"/>
      <c r="P123" s="92"/>
      <c r="Q123" s="92"/>
      <c r="R123" s="93">
        <f t="shared" si="3"/>
      </c>
      <c r="S123" s="61"/>
      <c r="T123" s="61"/>
      <c r="U123" s="61"/>
      <c r="V123" s="61"/>
      <c r="W123" s="61">
        <f t="shared" si="4"/>
      </c>
      <c r="X123" s="94">
        <f t="shared" si="5"/>
      </c>
      <c r="Y123" s="94">
        <f t="shared" si="6"/>
      </c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95"/>
      <c r="AM123" s="61"/>
      <c r="AN123" s="61"/>
      <c r="AO123" s="68"/>
      <c r="AP123" s="61"/>
      <c r="AQ123" s="61"/>
      <c r="AR123" s="61"/>
      <c r="AS123" s="61"/>
      <c r="AT123" s="61"/>
      <c r="AU123" s="61"/>
      <c r="AV123" s="92"/>
      <c r="AW123" s="92"/>
      <c r="AX123" s="93">
        <f t="shared" si="7"/>
      </c>
      <c r="AY123" s="61"/>
      <c r="AZ123" s="61"/>
      <c r="BA123" s="61"/>
      <c r="BB123" s="61"/>
      <c r="BC123" s="61">
        <f t="shared" si="11"/>
      </c>
      <c r="BD123" s="94">
        <f t="shared" si="12"/>
      </c>
      <c r="BE123" s="94">
        <f t="shared" si="13"/>
      </c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95"/>
      <c r="BS123" s="61"/>
      <c r="BT123" s="61"/>
    </row>
    <row r="124" ht="14.25" customHeight="1" spans="1:72" x14ac:dyDescent="0.25">
      <c r="A124" s="61">
        <f t="shared" si="0"/>
      </c>
      <c r="B124" s="61">
        <f t="array" ref="B124">IFERROR(INDEX('02_DS_Nhan_Viec'!$B:$B,MATCH(ROW()-1,'02_DS_Nhan_Viec'!$M:$M,0)),"")</f>
      </c>
      <c r="C124" s="61">
        <f t="array" ref="C124">IF($B124="","",IFERROR(INDEX('01_UngVien_PhongVan'!$D:$D,MATCH($B124,'01_UngVien_PhongVan'!$B:$B,0)),"Không tìm thấy mã ứng viên"))</f>
      </c>
      <c r="D124" s="61">
        <f t="array" ref="D124">IF($B124="","",IFERROR(INDEX('01_UngVien_PhongVan'!$R:$R,MATCH($B124,'01_UngVien_PhongVan'!$B:$B,0)),""))</f>
      </c>
      <c r="E124" s="61">
        <f t="array" ref="E124">IF($B124="","",IFERROR(INDEX('02_DS_Nhan_Viec'!$H:$H,MATCH($B124,'02_DS_Nhan_Viec'!$B:$B,0)),""))</f>
      </c>
      <c r="F124" s="68">
        <f t="array" ref="F124">IF($B124="","",IFERROR(INDEX('02_DS_Nhan_Viec'!$E:$E,MATCH($B124,'02_DS_Nhan_Viec'!$B:$B,0)),""))</f>
      </c>
      <c r="G124" s="68">
        <f t="shared" si="1"/>
      </c>
      <c r="H124" s="68">
        <f t="shared" si="2"/>
      </c>
      <c r="I124" s="68"/>
      <c r="J124" s="61"/>
      <c r="K124" s="61"/>
      <c r="L124" s="61"/>
      <c r="M124" s="61"/>
      <c r="N124" s="61"/>
      <c r="O124" s="61"/>
      <c r="P124" s="92"/>
      <c r="Q124" s="92"/>
      <c r="R124" s="93">
        <f t="shared" si="3"/>
      </c>
      <c r="S124" s="61"/>
      <c r="T124" s="61"/>
      <c r="U124" s="61"/>
      <c r="V124" s="61"/>
      <c r="W124" s="61">
        <f t="shared" si="4"/>
      </c>
      <c r="X124" s="94">
        <f t="shared" si="5"/>
      </c>
      <c r="Y124" s="94">
        <f t="shared" si="6"/>
      </c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95"/>
      <c r="AM124" s="61"/>
      <c r="AN124" s="61"/>
      <c r="AO124" s="68"/>
      <c r="AP124" s="61"/>
      <c r="AQ124" s="61"/>
      <c r="AR124" s="61"/>
      <c r="AS124" s="61"/>
      <c r="AT124" s="61"/>
      <c r="AU124" s="61"/>
      <c r="AV124" s="92"/>
      <c r="AW124" s="92"/>
      <c r="AX124" s="93">
        <f t="shared" si="7"/>
      </c>
      <c r="AY124" s="61"/>
      <c r="AZ124" s="61"/>
      <c r="BA124" s="61"/>
      <c r="BB124" s="61"/>
      <c r="BC124" s="61">
        <f t="shared" si="11"/>
      </c>
      <c r="BD124" s="94">
        <f t="shared" si="12"/>
      </c>
      <c r="BE124" s="94">
        <f t="shared" si="13"/>
      </c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95"/>
      <c r="BS124" s="61"/>
      <c r="BT124" s="61"/>
    </row>
    <row r="125" ht="14.25" customHeight="1" spans="1:72" x14ac:dyDescent="0.25">
      <c r="A125" s="61">
        <f t="shared" si="0"/>
      </c>
      <c r="B125" s="61">
        <f t="array" ref="B125">IFERROR(INDEX('02_DS_Nhan_Viec'!$B:$B,MATCH(ROW()-1,'02_DS_Nhan_Viec'!$M:$M,0)),"")</f>
      </c>
      <c r="C125" s="61">
        <f t="array" ref="C125">IF($B125="","",IFERROR(INDEX('01_UngVien_PhongVan'!$D:$D,MATCH($B125,'01_UngVien_PhongVan'!$B:$B,0)),"Không tìm thấy mã ứng viên"))</f>
      </c>
      <c r="D125" s="61">
        <f t="array" ref="D125">IF($B125="","",IFERROR(INDEX('01_UngVien_PhongVan'!$R:$R,MATCH($B125,'01_UngVien_PhongVan'!$B:$B,0)),""))</f>
      </c>
      <c r="E125" s="61">
        <f t="array" ref="E125">IF($B125="","",IFERROR(INDEX('02_DS_Nhan_Viec'!$H:$H,MATCH($B125,'02_DS_Nhan_Viec'!$B:$B,0)),""))</f>
      </c>
      <c r="F125" s="68">
        <f t="array" ref="F125">IF($B125="","",IFERROR(INDEX('02_DS_Nhan_Viec'!$E:$E,MATCH($B125,'02_DS_Nhan_Viec'!$B:$B,0)),""))</f>
      </c>
      <c r="G125" s="68">
        <f t="shared" si="1"/>
      </c>
      <c r="H125" s="68">
        <f t="shared" si="2"/>
      </c>
      <c r="I125" s="68"/>
      <c r="J125" s="61"/>
      <c r="K125" s="61"/>
      <c r="L125" s="61"/>
      <c r="M125" s="61"/>
      <c r="N125" s="61"/>
      <c r="O125" s="61"/>
      <c r="P125" s="92"/>
      <c r="Q125" s="92"/>
      <c r="R125" s="93">
        <f t="shared" si="3"/>
      </c>
      <c r="S125" s="61"/>
      <c r="T125" s="61"/>
      <c r="U125" s="61"/>
      <c r="V125" s="61"/>
      <c r="W125" s="61">
        <f t="shared" si="4"/>
      </c>
      <c r="X125" s="94">
        <f t="shared" si="5"/>
      </c>
      <c r="Y125" s="94">
        <f t="shared" si="6"/>
      </c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95"/>
      <c r="AM125" s="61"/>
      <c r="AN125" s="61"/>
      <c r="AO125" s="68"/>
      <c r="AP125" s="61"/>
      <c r="AQ125" s="61"/>
      <c r="AR125" s="61"/>
      <c r="AS125" s="61"/>
      <c r="AT125" s="61"/>
      <c r="AU125" s="61"/>
      <c r="AV125" s="92"/>
      <c r="AW125" s="92"/>
      <c r="AX125" s="93">
        <f t="shared" si="7"/>
      </c>
      <c r="AY125" s="61"/>
      <c r="AZ125" s="61"/>
      <c r="BA125" s="61"/>
      <c r="BB125" s="61"/>
      <c r="BC125" s="61">
        <f t="shared" si="11"/>
      </c>
      <c r="BD125" s="94">
        <f t="shared" si="12"/>
      </c>
      <c r="BE125" s="94">
        <f t="shared" si="13"/>
      </c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95"/>
      <c r="BS125" s="61"/>
      <c r="BT125" s="61"/>
    </row>
    <row r="126" ht="14.25" customHeight="1" spans="1:72" x14ac:dyDescent="0.25">
      <c r="A126" s="61">
        <f t="shared" si="0"/>
      </c>
      <c r="B126" s="61">
        <f t="array" ref="B126">IFERROR(INDEX('02_DS_Nhan_Viec'!$B:$B,MATCH(ROW()-1,'02_DS_Nhan_Viec'!$M:$M,0)),"")</f>
      </c>
      <c r="C126" s="61">
        <f t="array" ref="C126">IF($B126="","",IFERROR(INDEX('01_UngVien_PhongVan'!$D:$D,MATCH($B126,'01_UngVien_PhongVan'!$B:$B,0)),"Không tìm thấy mã ứng viên"))</f>
      </c>
      <c r="D126" s="61">
        <f t="array" ref="D126">IF($B126="","",IFERROR(INDEX('01_UngVien_PhongVan'!$R:$R,MATCH($B126,'01_UngVien_PhongVan'!$B:$B,0)),""))</f>
      </c>
      <c r="E126" s="61">
        <f t="array" ref="E126">IF($B126="","",IFERROR(INDEX('02_DS_Nhan_Viec'!$H:$H,MATCH($B126,'02_DS_Nhan_Viec'!$B:$B,0)),""))</f>
      </c>
      <c r="F126" s="68">
        <f t="array" ref="F126">IF($B126="","",IFERROR(INDEX('02_DS_Nhan_Viec'!$E:$E,MATCH($B126,'02_DS_Nhan_Viec'!$B:$B,0)),""))</f>
      </c>
      <c r="G126" s="68">
        <f t="shared" si="1"/>
      </c>
      <c r="H126" s="68">
        <f t="shared" si="2"/>
      </c>
      <c r="I126" s="68"/>
      <c r="J126" s="61"/>
      <c r="K126" s="61"/>
      <c r="L126" s="61"/>
      <c r="M126" s="61"/>
      <c r="N126" s="61"/>
      <c r="O126" s="61"/>
      <c r="P126" s="92"/>
      <c r="Q126" s="92"/>
      <c r="R126" s="93">
        <f t="shared" si="3"/>
      </c>
      <c r="S126" s="61"/>
      <c r="T126" s="61"/>
      <c r="U126" s="61"/>
      <c r="V126" s="61"/>
      <c r="W126" s="61">
        <f t="shared" si="4"/>
      </c>
      <c r="X126" s="94">
        <f t="shared" si="5"/>
      </c>
      <c r="Y126" s="94">
        <f t="shared" si="6"/>
      </c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95"/>
      <c r="AM126" s="61"/>
      <c r="AN126" s="61"/>
      <c r="AO126" s="68"/>
      <c r="AP126" s="61"/>
      <c r="AQ126" s="61"/>
      <c r="AR126" s="61"/>
      <c r="AS126" s="61"/>
      <c r="AT126" s="61"/>
      <c r="AU126" s="61"/>
      <c r="AV126" s="92"/>
      <c r="AW126" s="92"/>
      <c r="AX126" s="93">
        <f t="shared" si="7"/>
      </c>
      <c r="AY126" s="61"/>
      <c r="AZ126" s="61"/>
      <c r="BA126" s="61"/>
      <c r="BB126" s="61"/>
      <c r="BC126" s="61">
        <f t="shared" si="11"/>
      </c>
      <c r="BD126" s="94">
        <f t="shared" si="12"/>
      </c>
      <c r="BE126" s="94">
        <f t="shared" si="13"/>
      </c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95"/>
      <c r="BS126" s="61"/>
      <c r="BT126" s="61"/>
    </row>
    <row r="127" ht="14.25" customHeight="1" spans="1:72" x14ac:dyDescent="0.25">
      <c r="A127" s="61">
        <f t="shared" si="0"/>
      </c>
      <c r="B127" s="61">
        <f t="array" ref="B127">IFERROR(INDEX('02_DS_Nhan_Viec'!$B:$B,MATCH(ROW()-1,'02_DS_Nhan_Viec'!$M:$M,0)),"")</f>
      </c>
      <c r="C127" s="61">
        <f t="array" ref="C127">IF($B127="","",IFERROR(INDEX('01_UngVien_PhongVan'!$D:$D,MATCH($B127,'01_UngVien_PhongVan'!$B:$B,0)),"Không tìm thấy mã ứng viên"))</f>
      </c>
      <c r="D127" s="61">
        <f t="array" ref="D127">IF($B127="","",IFERROR(INDEX('01_UngVien_PhongVan'!$R:$R,MATCH($B127,'01_UngVien_PhongVan'!$B:$B,0)),""))</f>
      </c>
      <c r="E127" s="61">
        <f t="array" ref="E127">IF($B127="","",IFERROR(INDEX('02_DS_Nhan_Viec'!$H:$H,MATCH($B127,'02_DS_Nhan_Viec'!$B:$B,0)),""))</f>
      </c>
      <c r="F127" s="68">
        <f t="array" ref="F127">IF($B127="","",IFERROR(INDEX('02_DS_Nhan_Viec'!$E:$E,MATCH($B127,'02_DS_Nhan_Viec'!$B:$B,0)),""))</f>
      </c>
      <c r="G127" s="68">
        <f t="shared" si="1"/>
      </c>
      <c r="H127" s="68">
        <f t="shared" si="2"/>
      </c>
      <c r="I127" s="68"/>
      <c r="J127" s="61"/>
      <c r="K127" s="61"/>
      <c r="L127" s="61"/>
      <c r="M127" s="61"/>
      <c r="N127" s="61"/>
      <c r="O127" s="61"/>
      <c r="P127" s="92"/>
      <c r="Q127" s="92"/>
      <c r="R127" s="93">
        <f t="shared" si="3"/>
      </c>
      <c r="S127" s="61"/>
      <c r="T127" s="61"/>
      <c r="U127" s="61"/>
      <c r="V127" s="61"/>
      <c r="W127" s="61">
        <f t="shared" si="4"/>
      </c>
      <c r="X127" s="94">
        <f t="shared" si="5"/>
      </c>
      <c r="Y127" s="94">
        <f t="shared" si="6"/>
      </c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95"/>
      <c r="AM127" s="61"/>
      <c r="AN127" s="61"/>
      <c r="AO127" s="68"/>
      <c r="AP127" s="61"/>
      <c r="AQ127" s="61"/>
      <c r="AR127" s="61"/>
      <c r="AS127" s="61"/>
      <c r="AT127" s="61"/>
      <c r="AU127" s="61"/>
      <c r="AV127" s="92"/>
      <c r="AW127" s="92"/>
      <c r="AX127" s="93">
        <f t="shared" si="7"/>
      </c>
      <c r="AY127" s="61"/>
      <c r="AZ127" s="61"/>
      <c r="BA127" s="61"/>
      <c r="BB127" s="61"/>
      <c r="BC127" s="61">
        <f t="shared" si="11"/>
      </c>
      <c r="BD127" s="94">
        <f t="shared" si="12"/>
      </c>
      <c r="BE127" s="94">
        <f t="shared" si="13"/>
      </c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95"/>
      <c r="BS127" s="61"/>
      <c r="BT127" s="61"/>
    </row>
    <row r="128" ht="14.25" customHeight="1" spans="1:72" x14ac:dyDescent="0.25">
      <c r="A128" s="61">
        <f t="shared" si="0"/>
      </c>
      <c r="B128" s="61">
        <f t="array" ref="B128">IFERROR(INDEX('02_DS_Nhan_Viec'!$B:$B,MATCH(ROW()-1,'02_DS_Nhan_Viec'!$M:$M,0)),"")</f>
      </c>
      <c r="C128" s="61">
        <f t="array" ref="C128">IF($B128="","",IFERROR(INDEX('01_UngVien_PhongVan'!$D:$D,MATCH($B128,'01_UngVien_PhongVan'!$B:$B,0)),"Không tìm thấy mã ứng viên"))</f>
      </c>
      <c r="D128" s="61">
        <f t="array" ref="D128">IF($B128="","",IFERROR(INDEX('01_UngVien_PhongVan'!$R:$R,MATCH($B128,'01_UngVien_PhongVan'!$B:$B,0)),""))</f>
      </c>
      <c r="E128" s="61">
        <f t="array" ref="E128">IF($B128="","",IFERROR(INDEX('02_DS_Nhan_Viec'!$H:$H,MATCH($B128,'02_DS_Nhan_Viec'!$B:$B,0)),""))</f>
      </c>
      <c r="F128" s="68">
        <f t="array" ref="F128">IF($B128="","",IFERROR(INDEX('02_DS_Nhan_Viec'!$E:$E,MATCH($B128,'02_DS_Nhan_Viec'!$B:$B,0)),""))</f>
      </c>
      <c r="G128" s="68">
        <f t="shared" si="1"/>
      </c>
      <c r="H128" s="68">
        <f t="shared" si="2"/>
      </c>
      <c r="I128" s="68"/>
      <c r="J128" s="61"/>
      <c r="K128" s="61"/>
      <c r="L128" s="61"/>
      <c r="M128" s="61"/>
      <c r="N128" s="61"/>
      <c r="O128" s="61"/>
      <c r="P128" s="92"/>
      <c r="Q128" s="92"/>
      <c r="R128" s="93">
        <f t="shared" si="3"/>
      </c>
      <c r="S128" s="61"/>
      <c r="T128" s="61"/>
      <c r="U128" s="61"/>
      <c r="V128" s="61"/>
      <c r="W128" s="61">
        <f t="shared" si="4"/>
      </c>
      <c r="X128" s="94">
        <f t="shared" si="5"/>
      </c>
      <c r="Y128" s="94">
        <f t="shared" si="6"/>
      </c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95"/>
      <c r="AM128" s="61"/>
      <c r="AN128" s="61"/>
      <c r="AO128" s="68"/>
      <c r="AP128" s="61"/>
      <c r="AQ128" s="61"/>
      <c r="AR128" s="61"/>
      <c r="AS128" s="61"/>
      <c r="AT128" s="61"/>
      <c r="AU128" s="61"/>
      <c r="AV128" s="92"/>
      <c r="AW128" s="92"/>
      <c r="AX128" s="93">
        <f t="shared" si="7"/>
      </c>
      <c r="AY128" s="61"/>
      <c r="AZ128" s="61"/>
      <c r="BA128" s="61"/>
      <c r="BB128" s="61"/>
      <c r="BC128" s="61">
        <f t="shared" si="11"/>
      </c>
      <c r="BD128" s="94">
        <f t="shared" si="12"/>
      </c>
      <c r="BE128" s="94">
        <f t="shared" si="13"/>
      </c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95"/>
      <c r="BS128" s="61"/>
      <c r="BT128" s="61"/>
    </row>
    <row r="129" ht="14.25" customHeight="1" spans="1:72" x14ac:dyDescent="0.25">
      <c r="A129" s="61">
        <f t="shared" si="0"/>
      </c>
      <c r="B129" s="61">
        <f t="array" ref="B129">IFERROR(INDEX('02_DS_Nhan_Viec'!$B:$B,MATCH(ROW()-1,'02_DS_Nhan_Viec'!$M:$M,0)),"")</f>
      </c>
      <c r="C129" s="61">
        <f t="array" ref="C129">IF($B129="","",IFERROR(INDEX('01_UngVien_PhongVan'!$D:$D,MATCH($B129,'01_UngVien_PhongVan'!$B:$B,0)),"Không tìm thấy mã ứng viên"))</f>
      </c>
      <c r="D129" s="61">
        <f t="array" ref="D129">IF($B129="","",IFERROR(INDEX('01_UngVien_PhongVan'!$R:$R,MATCH($B129,'01_UngVien_PhongVan'!$B:$B,0)),""))</f>
      </c>
      <c r="E129" s="61">
        <f t="array" ref="E129">IF($B129="","",IFERROR(INDEX('02_DS_Nhan_Viec'!$H:$H,MATCH($B129,'02_DS_Nhan_Viec'!$B:$B,0)),""))</f>
      </c>
      <c r="F129" s="68">
        <f t="array" ref="F129">IF($B129="","",IFERROR(INDEX('02_DS_Nhan_Viec'!$E:$E,MATCH($B129,'02_DS_Nhan_Viec'!$B:$B,0)),""))</f>
      </c>
      <c r="G129" s="68">
        <f t="shared" si="1"/>
      </c>
      <c r="H129" s="68">
        <f t="shared" si="2"/>
      </c>
      <c r="I129" s="68"/>
      <c r="J129" s="61"/>
      <c r="K129" s="61"/>
      <c r="L129" s="61"/>
      <c r="M129" s="61"/>
      <c r="N129" s="61"/>
      <c r="O129" s="61"/>
      <c r="P129" s="92"/>
      <c r="Q129" s="92"/>
      <c r="R129" s="93">
        <f t="shared" si="3"/>
      </c>
      <c r="S129" s="61"/>
      <c r="T129" s="61"/>
      <c r="U129" s="61"/>
      <c r="V129" s="61"/>
      <c r="W129" s="61">
        <f t="shared" si="4"/>
      </c>
      <c r="X129" s="94">
        <f t="shared" si="5"/>
      </c>
      <c r="Y129" s="94">
        <f t="shared" si="6"/>
      </c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95"/>
      <c r="AM129" s="61"/>
      <c r="AN129" s="61"/>
      <c r="AO129" s="68"/>
      <c r="AP129" s="61"/>
      <c r="AQ129" s="61"/>
      <c r="AR129" s="61"/>
      <c r="AS129" s="61"/>
      <c r="AT129" s="61"/>
      <c r="AU129" s="61"/>
      <c r="AV129" s="92"/>
      <c r="AW129" s="92"/>
      <c r="AX129" s="93">
        <f t="shared" si="7"/>
      </c>
      <c r="AY129" s="61"/>
      <c r="AZ129" s="61"/>
      <c r="BA129" s="61"/>
      <c r="BB129" s="61"/>
      <c r="BC129" s="61">
        <f t="shared" si="11"/>
      </c>
      <c r="BD129" s="94">
        <f t="shared" si="12"/>
      </c>
      <c r="BE129" s="94">
        <f t="shared" si="13"/>
      </c>
      <c r="BF129" s="61"/>
      <c r="BG129" s="61"/>
      <c r="BH129" s="61"/>
      <c r="BI129" s="61"/>
      <c r="BJ129" s="61"/>
      <c r="BK129" s="61"/>
      <c r="BL129" s="61"/>
      <c r="BM129" s="61"/>
      <c r="BN129" s="61"/>
      <c r="BO129" s="61"/>
      <c r="BP129" s="61"/>
      <c r="BQ129" s="61"/>
      <c r="BR129" s="95"/>
      <c r="BS129" s="61"/>
      <c r="BT129" s="61"/>
    </row>
    <row r="130" ht="14.25" customHeight="1" spans="1:72" x14ac:dyDescent="0.25">
      <c r="A130" s="61">
        <f t="shared" si="0"/>
      </c>
      <c r="B130" s="61">
        <f t="array" ref="B130">IFERROR(INDEX('02_DS_Nhan_Viec'!$B:$B,MATCH(ROW()-1,'02_DS_Nhan_Viec'!$M:$M,0)),"")</f>
      </c>
      <c r="C130" s="61">
        <f t="array" ref="C130">IF($B130="","",IFERROR(INDEX('01_UngVien_PhongVan'!$D:$D,MATCH($B130,'01_UngVien_PhongVan'!$B:$B,0)),"Không tìm thấy mã ứng viên"))</f>
      </c>
      <c r="D130" s="61">
        <f t="array" ref="D130">IF($B130="","",IFERROR(INDEX('01_UngVien_PhongVan'!$R:$R,MATCH($B130,'01_UngVien_PhongVan'!$B:$B,0)),""))</f>
      </c>
      <c r="E130" s="61">
        <f t="array" ref="E130">IF($B130="","",IFERROR(INDEX('02_DS_Nhan_Viec'!$H:$H,MATCH($B130,'02_DS_Nhan_Viec'!$B:$B,0)),""))</f>
      </c>
      <c r="F130" s="68">
        <f t="array" ref="F130">IF($B130="","",IFERROR(INDEX('02_DS_Nhan_Viec'!$E:$E,MATCH($B130,'02_DS_Nhan_Viec'!$B:$B,0)),""))</f>
      </c>
      <c r="G130" s="68">
        <f t="shared" si="1"/>
      </c>
      <c r="H130" s="68">
        <f t="shared" si="2"/>
      </c>
      <c r="I130" s="68"/>
      <c r="J130" s="61"/>
      <c r="K130" s="61"/>
      <c r="L130" s="61"/>
      <c r="M130" s="61"/>
      <c r="N130" s="61"/>
      <c r="O130" s="61"/>
      <c r="P130" s="92"/>
      <c r="Q130" s="92"/>
      <c r="R130" s="93">
        <f t="shared" si="3"/>
      </c>
      <c r="S130" s="61"/>
      <c r="T130" s="61"/>
      <c r="U130" s="61"/>
      <c r="V130" s="61"/>
      <c r="W130" s="61">
        <f t="shared" si="4"/>
      </c>
      <c r="X130" s="94">
        <f t="shared" si="5"/>
      </c>
      <c r="Y130" s="94">
        <f t="shared" si="6"/>
      </c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95"/>
      <c r="AM130" s="61"/>
      <c r="AN130" s="61"/>
      <c r="AO130" s="68"/>
      <c r="AP130" s="61"/>
      <c r="AQ130" s="61"/>
      <c r="AR130" s="61"/>
      <c r="AS130" s="61"/>
      <c r="AT130" s="61"/>
      <c r="AU130" s="61"/>
      <c r="AV130" s="92"/>
      <c r="AW130" s="92"/>
      <c r="AX130" s="93">
        <f t="shared" si="7"/>
      </c>
      <c r="AY130" s="61"/>
      <c r="AZ130" s="61"/>
      <c r="BA130" s="61"/>
      <c r="BB130" s="61"/>
      <c r="BC130" s="61">
        <f t="shared" si="11"/>
      </c>
      <c r="BD130" s="94">
        <f t="shared" si="12"/>
      </c>
      <c r="BE130" s="94">
        <f t="shared" si="13"/>
      </c>
      <c r="BF130" s="61"/>
      <c r="BG130" s="61"/>
      <c r="BH130" s="61"/>
      <c r="BI130" s="61"/>
      <c r="BJ130" s="61"/>
      <c r="BK130" s="61"/>
      <c r="BL130" s="61"/>
      <c r="BM130" s="61"/>
      <c r="BN130" s="61"/>
      <c r="BO130" s="61"/>
      <c r="BP130" s="61"/>
      <c r="BQ130" s="61"/>
      <c r="BR130" s="95"/>
      <c r="BS130" s="61"/>
      <c r="BT130" s="61"/>
    </row>
    <row r="131" ht="14.25" customHeight="1" spans="1:72" x14ac:dyDescent="0.25">
      <c r="A131" s="61">
        <f t="shared" si="0"/>
      </c>
      <c r="B131" s="61">
        <f t="array" ref="B131">IFERROR(INDEX('02_DS_Nhan_Viec'!$B:$B,MATCH(ROW()-1,'02_DS_Nhan_Viec'!$M:$M,0)),"")</f>
      </c>
      <c r="C131" s="61">
        <f t="array" ref="C131">IF($B131="","",IFERROR(INDEX('01_UngVien_PhongVan'!$D:$D,MATCH($B131,'01_UngVien_PhongVan'!$B:$B,0)),"Không tìm thấy mã ứng viên"))</f>
      </c>
      <c r="D131" s="61">
        <f t="array" ref="D131">IF($B131="","",IFERROR(INDEX('01_UngVien_PhongVan'!$R:$R,MATCH($B131,'01_UngVien_PhongVan'!$B:$B,0)),""))</f>
      </c>
      <c r="E131" s="61">
        <f t="array" ref="E131">IF($B131="","",IFERROR(INDEX('02_DS_Nhan_Viec'!$H:$H,MATCH($B131,'02_DS_Nhan_Viec'!$B:$B,0)),""))</f>
      </c>
      <c r="F131" s="68">
        <f t="array" ref="F131">IF($B131="","",IFERROR(INDEX('02_DS_Nhan_Viec'!$E:$E,MATCH($B131,'02_DS_Nhan_Viec'!$B:$B,0)),""))</f>
      </c>
      <c r="G131" s="68">
        <f t="shared" si="1"/>
      </c>
      <c r="H131" s="68">
        <f t="shared" si="2"/>
      </c>
      <c r="I131" s="68"/>
      <c r="J131" s="61"/>
      <c r="K131" s="61"/>
      <c r="L131" s="61"/>
      <c r="M131" s="61"/>
      <c r="N131" s="61"/>
      <c r="O131" s="61"/>
      <c r="P131" s="92"/>
      <c r="Q131" s="92"/>
      <c r="R131" s="93">
        <f t="shared" si="3"/>
      </c>
      <c r="S131" s="61"/>
      <c r="T131" s="61"/>
      <c r="U131" s="61"/>
      <c r="V131" s="61"/>
      <c r="W131" s="61">
        <f t="shared" si="4"/>
      </c>
      <c r="X131" s="94">
        <f t="shared" si="5"/>
      </c>
      <c r="Y131" s="94">
        <f t="shared" si="6"/>
      </c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95"/>
      <c r="AM131" s="61"/>
      <c r="AN131" s="61"/>
      <c r="AO131" s="68"/>
      <c r="AP131" s="61"/>
      <c r="AQ131" s="61"/>
      <c r="AR131" s="61"/>
      <c r="AS131" s="61"/>
      <c r="AT131" s="61"/>
      <c r="AU131" s="61"/>
      <c r="AV131" s="92"/>
      <c r="AW131" s="92"/>
      <c r="AX131" s="93">
        <f t="shared" si="7"/>
      </c>
      <c r="AY131" s="61"/>
      <c r="AZ131" s="61"/>
      <c r="BA131" s="61"/>
      <c r="BB131" s="61"/>
      <c r="BC131" s="61">
        <f t="shared" si="11"/>
      </c>
      <c r="BD131" s="94">
        <f t="shared" si="12"/>
      </c>
      <c r="BE131" s="94">
        <f t="shared" si="13"/>
      </c>
      <c r="BF131" s="61"/>
      <c r="BG131" s="61"/>
      <c r="BH131" s="61"/>
      <c r="BI131" s="61"/>
      <c r="BJ131" s="61"/>
      <c r="BK131" s="61"/>
      <c r="BL131" s="61"/>
      <c r="BM131" s="61"/>
      <c r="BN131" s="61"/>
      <c r="BO131" s="61"/>
      <c r="BP131" s="61"/>
      <c r="BQ131" s="61"/>
      <c r="BR131" s="95"/>
      <c r="BS131" s="61"/>
      <c r="BT131" s="61"/>
    </row>
    <row r="132" ht="14.25" customHeight="1" spans="1:72" x14ac:dyDescent="0.25">
      <c r="A132" s="61">
        <f t="shared" si="0"/>
      </c>
      <c r="B132" s="61">
        <f t="array" ref="B132">IFERROR(INDEX('02_DS_Nhan_Viec'!$B:$B,MATCH(ROW()-1,'02_DS_Nhan_Viec'!$M:$M,0)),"")</f>
      </c>
      <c r="C132" s="61">
        <f t="array" ref="C132">IF($B132="","",IFERROR(INDEX('01_UngVien_PhongVan'!$D:$D,MATCH($B132,'01_UngVien_PhongVan'!$B:$B,0)),"Không tìm thấy mã ứng viên"))</f>
      </c>
      <c r="D132" s="61">
        <f t="array" ref="D132">IF($B132="","",IFERROR(INDEX('01_UngVien_PhongVan'!$R:$R,MATCH($B132,'01_UngVien_PhongVan'!$B:$B,0)),""))</f>
      </c>
      <c r="E132" s="61">
        <f t="array" ref="E132">IF($B132="","",IFERROR(INDEX('02_DS_Nhan_Viec'!$H:$H,MATCH($B132,'02_DS_Nhan_Viec'!$B:$B,0)),""))</f>
      </c>
      <c r="F132" s="68">
        <f t="array" ref="F132">IF($B132="","",IFERROR(INDEX('02_DS_Nhan_Viec'!$E:$E,MATCH($B132,'02_DS_Nhan_Viec'!$B:$B,0)),""))</f>
      </c>
      <c r="G132" s="68">
        <f t="shared" si="1"/>
      </c>
      <c r="H132" s="68">
        <f t="shared" si="2"/>
      </c>
      <c r="I132" s="68"/>
      <c r="J132" s="61"/>
      <c r="K132" s="61"/>
      <c r="L132" s="61"/>
      <c r="M132" s="61"/>
      <c r="N132" s="61"/>
      <c r="O132" s="61"/>
      <c r="P132" s="92"/>
      <c r="Q132" s="92"/>
      <c r="R132" s="93">
        <f t="shared" si="3"/>
      </c>
      <c r="S132" s="61"/>
      <c r="T132" s="61"/>
      <c r="U132" s="61"/>
      <c r="V132" s="61"/>
      <c r="W132" s="61">
        <f t="shared" si="4"/>
      </c>
      <c r="X132" s="94">
        <f t="shared" si="5"/>
      </c>
      <c r="Y132" s="94">
        <f t="shared" si="6"/>
      </c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95"/>
      <c r="AM132" s="61"/>
      <c r="AN132" s="61"/>
      <c r="AO132" s="68"/>
      <c r="AP132" s="61"/>
      <c r="AQ132" s="61"/>
      <c r="AR132" s="61"/>
      <c r="AS132" s="61"/>
      <c r="AT132" s="61"/>
      <c r="AU132" s="61"/>
      <c r="AV132" s="92"/>
      <c r="AW132" s="92"/>
      <c r="AX132" s="93">
        <f t="shared" si="7"/>
      </c>
      <c r="AY132" s="61"/>
      <c r="AZ132" s="61"/>
      <c r="BA132" s="61"/>
      <c r="BB132" s="61"/>
      <c r="BC132" s="61">
        <f t="shared" si="11"/>
      </c>
      <c r="BD132" s="94">
        <f t="shared" si="12"/>
      </c>
      <c r="BE132" s="94">
        <f t="shared" si="13"/>
      </c>
      <c r="BF132" s="61"/>
      <c r="BG132" s="61"/>
      <c r="BH132" s="61"/>
      <c r="BI132" s="61"/>
      <c r="BJ132" s="61"/>
      <c r="BK132" s="61"/>
      <c r="BL132" s="61"/>
      <c r="BM132" s="61"/>
      <c r="BN132" s="61"/>
      <c r="BO132" s="61"/>
      <c r="BP132" s="61"/>
      <c r="BQ132" s="61"/>
      <c r="BR132" s="95"/>
      <c r="BS132" s="61"/>
      <c r="BT132" s="61"/>
    </row>
    <row r="133" ht="14.25" customHeight="1" spans="1:72" x14ac:dyDescent="0.25">
      <c r="A133" s="61">
        <f t="shared" si="0"/>
      </c>
      <c r="B133" s="61">
        <f t="array" ref="B133">IFERROR(INDEX('02_DS_Nhan_Viec'!$B:$B,MATCH(ROW()-1,'02_DS_Nhan_Viec'!$M:$M,0)),"")</f>
      </c>
      <c r="C133" s="61">
        <f t="array" ref="C133">IF($B133="","",IFERROR(INDEX('01_UngVien_PhongVan'!$D:$D,MATCH($B133,'01_UngVien_PhongVan'!$B:$B,0)),"Không tìm thấy mã ứng viên"))</f>
      </c>
      <c r="D133" s="61">
        <f t="array" ref="D133">IF($B133="","",IFERROR(INDEX('01_UngVien_PhongVan'!$R:$R,MATCH($B133,'01_UngVien_PhongVan'!$B:$B,0)),""))</f>
      </c>
      <c r="E133" s="61">
        <f t="array" ref="E133">IF($B133="","",IFERROR(INDEX('02_DS_Nhan_Viec'!$H:$H,MATCH($B133,'02_DS_Nhan_Viec'!$B:$B,0)),""))</f>
      </c>
      <c r="F133" s="68">
        <f t="array" ref="F133">IF($B133="","",IFERROR(INDEX('02_DS_Nhan_Viec'!$E:$E,MATCH($B133,'02_DS_Nhan_Viec'!$B:$B,0)),""))</f>
      </c>
      <c r="G133" s="68">
        <f t="shared" si="1"/>
      </c>
      <c r="H133" s="68">
        <f t="shared" si="2"/>
      </c>
      <c r="I133" s="68"/>
      <c r="J133" s="61"/>
      <c r="K133" s="61"/>
      <c r="L133" s="61"/>
      <c r="M133" s="61"/>
      <c r="N133" s="61"/>
      <c r="O133" s="61"/>
      <c r="P133" s="92"/>
      <c r="Q133" s="92"/>
      <c r="R133" s="93">
        <f t="shared" si="3"/>
      </c>
      <c r="S133" s="61"/>
      <c r="T133" s="61"/>
      <c r="U133" s="61"/>
      <c r="V133" s="61"/>
      <c r="W133" s="61">
        <f t="shared" si="4"/>
      </c>
      <c r="X133" s="94">
        <f t="shared" si="5"/>
      </c>
      <c r="Y133" s="94">
        <f t="shared" si="6"/>
      </c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95"/>
      <c r="AM133" s="61"/>
      <c r="AN133" s="61"/>
      <c r="AO133" s="68"/>
      <c r="AP133" s="61"/>
      <c r="AQ133" s="61"/>
      <c r="AR133" s="61"/>
      <c r="AS133" s="61"/>
      <c r="AT133" s="61"/>
      <c r="AU133" s="61"/>
      <c r="AV133" s="92"/>
      <c r="AW133" s="92"/>
      <c r="AX133" s="93">
        <f t="shared" si="7"/>
      </c>
      <c r="AY133" s="61"/>
      <c r="AZ133" s="61"/>
      <c r="BA133" s="61"/>
      <c r="BB133" s="61"/>
      <c r="BC133" s="61">
        <f t="shared" si="11"/>
      </c>
      <c r="BD133" s="94">
        <f t="shared" si="12"/>
      </c>
      <c r="BE133" s="94">
        <f t="shared" si="13"/>
      </c>
      <c r="BF133" s="61"/>
      <c r="BG133" s="61"/>
      <c r="BH133" s="61"/>
      <c r="BI133" s="61"/>
      <c r="BJ133" s="61"/>
      <c r="BK133" s="61"/>
      <c r="BL133" s="61"/>
      <c r="BM133" s="61"/>
      <c r="BN133" s="61"/>
      <c r="BO133" s="61"/>
      <c r="BP133" s="61"/>
      <c r="BQ133" s="61"/>
      <c r="BR133" s="95"/>
      <c r="BS133" s="61"/>
      <c r="BT133" s="61"/>
    </row>
    <row r="134" ht="14.25" customHeight="1" spans="1:72" x14ac:dyDescent="0.25">
      <c r="A134" s="61">
        <f t="shared" si="0"/>
      </c>
      <c r="B134" s="61">
        <f t="array" ref="B134">IFERROR(INDEX('02_DS_Nhan_Viec'!$B:$B,MATCH(ROW()-1,'02_DS_Nhan_Viec'!$M:$M,0)),"")</f>
      </c>
      <c r="C134" s="61">
        <f t="array" ref="C134">IF($B134="","",IFERROR(INDEX('01_UngVien_PhongVan'!$D:$D,MATCH($B134,'01_UngVien_PhongVan'!$B:$B,0)),"Không tìm thấy mã ứng viên"))</f>
      </c>
      <c r="D134" s="61">
        <f t="array" ref="D134">IF($B134="","",IFERROR(INDEX('01_UngVien_PhongVan'!$R:$R,MATCH($B134,'01_UngVien_PhongVan'!$B:$B,0)),""))</f>
      </c>
      <c r="E134" s="61">
        <f t="array" ref="E134">IF($B134="","",IFERROR(INDEX('02_DS_Nhan_Viec'!$H:$H,MATCH($B134,'02_DS_Nhan_Viec'!$B:$B,0)),""))</f>
      </c>
      <c r="F134" s="68">
        <f t="array" ref="F134">IF($B134="","",IFERROR(INDEX('02_DS_Nhan_Viec'!$E:$E,MATCH($B134,'02_DS_Nhan_Viec'!$B:$B,0)),""))</f>
      </c>
      <c r="G134" s="68">
        <f t="shared" si="1"/>
      </c>
      <c r="H134" s="68">
        <f t="shared" si="2"/>
      </c>
      <c r="I134" s="68"/>
      <c r="J134" s="61"/>
      <c r="K134" s="61"/>
      <c r="L134" s="61"/>
      <c r="M134" s="61"/>
      <c r="N134" s="61"/>
      <c r="O134" s="61"/>
      <c r="P134" s="92"/>
      <c r="Q134" s="92"/>
      <c r="R134" s="93">
        <f t="shared" si="3"/>
      </c>
      <c r="S134" s="61"/>
      <c r="T134" s="61"/>
      <c r="U134" s="61"/>
      <c r="V134" s="61"/>
      <c r="W134" s="61">
        <f t="shared" si="4"/>
      </c>
      <c r="X134" s="94">
        <f t="shared" si="5"/>
      </c>
      <c r="Y134" s="94">
        <f t="shared" si="6"/>
      </c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95"/>
      <c r="AM134" s="61"/>
      <c r="AN134" s="61"/>
      <c r="AO134" s="68"/>
      <c r="AP134" s="61"/>
      <c r="AQ134" s="61"/>
      <c r="AR134" s="61"/>
      <c r="AS134" s="61"/>
      <c r="AT134" s="61"/>
      <c r="AU134" s="61"/>
      <c r="AV134" s="92"/>
      <c r="AW134" s="92"/>
      <c r="AX134" s="93">
        <f t="shared" si="7"/>
      </c>
      <c r="AY134" s="61"/>
      <c r="AZ134" s="61"/>
      <c r="BA134" s="61"/>
      <c r="BB134" s="61"/>
      <c r="BC134" s="61">
        <f t="shared" si="11"/>
      </c>
      <c r="BD134" s="94">
        <f t="shared" si="12"/>
      </c>
      <c r="BE134" s="94">
        <f t="shared" si="13"/>
      </c>
      <c r="BF134" s="61"/>
      <c r="BG134" s="61"/>
      <c r="BH134" s="61"/>
      <c r="BI134" s="61"/>
      <c r="BJ134" s="61"/>
      <c r="BK134" s="61"/>
      <c r="BL134" s="61"/>
      <c r="BM134" s="61"/>
      <c r="BN134" s="61"/>
      <c r="BO134" s="61"/>
      <c r="BP134" s="61"/>
      <c r="BQ134" s="61"/>
      <c r="BR134" s="95"/>
      <c r="BS134" s="61"/>
      <c r="BT134" s="61"/>
    </row>
    <row r="135" ht="14.25" customHeight="1" spans="1:72" x14ac:dyDescent="0.25">
      <c r="A135" s="61">
        <f t="shared" si="0"/>
      </c>
      <c r="B135" s="61">
        <f t="array" ref="B135">IFERROR(INDEX('02_DS_Nhan_Viec'!$B:$B,MATCH(ROW()-1,'02_DS_Nhan_Viec'!$M:$M,0)),"")</f>
      </c>
      <c r="C135" s="61">
        <f t="array" ref="C135">IF($B135="","",IFERROR(INDEX('01_UngVien_PhongVan'!$D:$D,MATCH($B135,'01_UngVien_PhongVan'!$B:$B,0)),"Không tìm thấy mã ứng viên"))</f>
      </c>
      <c r="D135" s="61">
        <f t="array" ref="D135">IF($B135="","",IFERROR(INDEX('01_UngVien_PhongVan'!$R:$R,MATCH($B135,'01_UngVien_PhongVan'!$B:$B,0)),""))</f>
      </c>
      <c r="E135" s="61">
        <f t="array" ref="E135">IF($B135="","",IFERROR(INDEX('02_DS_Nhan_Viec'!$H:$H,MATCH($B135,'02_DS_Nhan_Viec'!$B:$B,0)),""))</f>
      </c>
      <c r="F135" s="68">
        <f t="array" ref="F135">IF($B135="","",IFERROR(INDEX('02_DS_Nhan_Viec'!$E:$E,MATCH($B135,'02_DS_Nhan_Viec'!$B:$B,0)),""))</f>
      </c>
      <c r="G135" s="68">
        <f t="shared" si="1"/>
      </c>
      <c r="H135" s="68">
        <f t="shared" si="2"/>
      </c>
      <c r="I135" s="68"/>
      <c r="J135" s="61"/>
      <c r="K135" s="61"/>
      <c r="L135" s="61"/>
      <c r="M135" s="61"/>
      <c r="N135" s="61"/>
      <c r="O135" s="61"/>
      <c r="P135" s="92"/>
      <c r="Q135" s="92"/>
      <c r="R135" s="93">
        <f t="shared" si="3"/>
      </c>
      <c r="S135" s="61"/>
      <c r="T135" s="61"/>
      <c r="U135" s="61"/>
      <c r="V135" s="61"/>
      <c r="W135" s="61">
        <f t="shared" si="4"/>
      </c>
      <c r="X135" s="94">
        <f t="shared" si="5"/>
      </c>
      <c r="Y135" s="94">
        <f t="shared" si="6"/>
      </c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61"/>
      <c r="AL135" s="95"/>
      <c r="AM135" s="61"/>
      <c r="AN135" s="61"/>
      <c r="AO135" s="68"/>
      <c r="AP135" s="61"/>
      <c r="AQ135" s="61"/>
      <c r="AR135" s="61"/>
      <c r="AS135" s="61"/>
      <c r="AT135" s="61"/>
      <c r="AU135" s="61"/>
      <c r="AV135" s="92"/>
      <c r="AW135" s="92"/>
      <c r="AX135" s="93">
        <f t="shared" si="7"/>
      </c>
      <c r="AY135" s="61"/>
      <c r="AZ135" s="61"/>
      <c r="BA135" s="61"/>
      <c r="BB135" s="61"/>
      <c r="BC135" s="61">
        <f t="shared" si="11"/>
      </c>
      <c r="BD135" s="94">
        <f t="shared" si="12"/>
      </c>
      <c r="BE135" s="94">
        <f t="shared" si="13"/>
      </c>
      <c r="BF135" s="61"/>
      <c r="BG135" s="61"/>
      <c r="BH135" s="61"/>
      <c r="BI135" s="61"/>
      <c r="BJ135" s="61"/>
      <c r="BK135" s="61"/>
      <c r="BL135" s="61"/>
      <c r="BM135" s="61"/>
      <c r="BN135" s="61"/>
      <c r="BO135" s="61"/>
      <c r="BP135" s="61"/>
      <c r="BQ135" s="61"/>
      <c r="BR135" s="95"/>
      <c r="BS135" s="61"/>
      <c r="BT135" s="61"/>
    </row>
    <row r="136" ht="14.25" customHeight="1" spans="1:72" x14ac:dyDescent="0.25">
      <c r="A136" s="61">
        <f t="shared" si="0"/>
      </c>
      <c r="B136" s="61">
        <f t="array" ref="B136">IFERROR(INDEX('02_DS_Nhan_Viec'!$B:$B,MATCH(ROW()-1,'02_DS_Nhan_Viec'!$M:$M,0)),"")</f>
      </c>
      <c r="C136" s="61">
        <f t="array" ref="C136">IF($B136="","",IFERROR(INDEX('01_UngVien_PhongVan'!$D:$D,MATCH($B136,'01_UngVien_PhongVan'!$B:$B,0)),"Không tìm thấy mã ứng viên"))</f>
      </c>
      <c r="D136" s="61">
        <f t="array" ref="D136">IF($B136="","",IFERROR(INDEX('01_UngVien_PhongVan'!$R:$R,MATCH($B136,'01_UngVien_PhongVan'!$B:$B,0)),""))</f>
      </c>
      <c r="E136" s="61">
        <f t="array" ref="E136">IF($B136="","",IFERROR(INDEX('02_DS_Nhan_Viec'!$H:$H,MATCH($B136,'02_DS_Nhan_Viec'!$B:$B,0)),""))</f>
      </c>
      <c r="F136" s="68">
        <f t="array" ref="F136">IF($B136="","",IFERROR(INDEX('02_DS_Nhan_Viec'!$E:$E,MATCH($B136,'02_DS_Nhan_Viec'!$B:$B,0)),""))</f>
      </c>
      <c r="G136" s="68">
        <f t="shared" si="1"/>
      </c>
      <c r="H136" s="68">
        <f t="shared" si="2"/>
      </c>
      <c r="I136" s="68"/>
      <c r="J136" s="61"/>
      <c r="K136" s="61"/>
      <c r="L136" s="61"/>
      <c r="M136" s="61"/>
      <c r="N136" s="61"/>
      <c r="O136" s="61"/>
      <c r="P136" s="92"/>
      <c r="Q136" s="92"/>
      <c r="R136" s="93">
        <f t="shared" si="3"/>
      </c>
      <c r="S136" s="61"/>
      <c r="T136" s="61"/>
      <c r="U136" s="61"/>
      <c r="V136" s="61"/>
      <c r="W136" s="61">
        <f t="shared" si="4"/>
      </c>
      <c r="X136" s="94">
        <f t="shared" si="5"/>
      </c>
      <c r="Y136" s="94">
        <f t="shared" si="6"/>
      </c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95"/>
      <c r="AM136" s="61"/>
      <c r="AN136" s="61"/>
      <c r="AO136" s="68"/>
      <c r="AP136" s="61"/>
      <c r="AQ136" s="61"/>
      <c r="AR136" s="61"/>
      <c r="AS136" s="61"/>
      <c r="AT136" s="61"/>
      <c r="AU136" s="61"/>
      <c r="AV136" s="92"/>
      <c r="AW136" s="92"/>
      <c r="AX136" s="93">
        <f t="shared" si="7"/>
      </c>
      <c r="AY136" s="61"/>
      <c r="AZ136" s="61"/>
      <c r="BA136" s="61"/>
      <c r="BB136" s="61"/>
      <c r="BC136" s="61">
        <f t="shared" si="11"/>
      </c>
      <c r="BD136" s="94">
        <f t="shared" si="12"/>
      </c>
      <c r="BE136" s="94">
        <f t="shared" si="13"/>
      </c>
      <c r="BF136" s="61"/>
      <c r="BG136" s="61"/>
      <c r="BH136" s="61"/>
      <c r="BI136" s="61"/>
      <c r="BJ136" s="61"/>
      <c r="BK136" s="61"/>
      <c r="BL136" s="61"/>
      <c r="BM136" s="61"/>
      <c r="BN136" s="61"/>
      <c r="BO136" s="61"/>
      <c r="BP136" s="61"/>
      <c r="BQ136" s="61"/>
      <c r="BR136" s="95"/>
      <c r="BS136" s="61"/>
      <c r="BT136" s="61"/>
    </row>
    <row r="137" ht="14.25" customHeight="1" spans="1:72" x14ac:dyDescent="0.25">
      <c r="A137" s="61">
        <f t="shared" si="0"/>
      </c>
      <c r="B137" s="61">
        <f t="array" ref="B137">IFERROR(INDEX('02_DS_Nhan_Viec'!$B:$B,MATCH(ROW()-1,'02_DS_Nhan_Viec'!$M:$M,0)),"")</f>
      </c>
      <c r="C137" s="61">
        <f t="array" ref="C137">IF($B137="","",IFERROR(INDEX('01_UngVien_PhongVan'!$D:$D,MATCH($B137,'01_UngVien_PhongVan'!$B:$B,0)),"Không tìm thấy mã ứng viên"))</f>
      </c>
      <c r="D137" s="61">
        <f t="array" ref="D137">IF($B137="","",IFERROR(INDEX('01_UngVien_PhongVan'!$R:$R,MATCH($B137,'01_UngVien_PhongVan'!$B:$B,0)),""))</f>
      </c>
      <c r="E137" s="61">
        <f t="array" ref="E137">IF($B137="","",IFERROR(INDEX('02_DS_Nhan_Viec'!$H:$H,MATCH($B137,'02_DS_Nhan_Viec'!$B:$B,0)),""))</f>
      </c>
      <c r="F137" s="68">
        <f t="array" ref="F137">IF($B137="","",IFERROR(INDEX('02_DS_Nhan_Viec'!$E:$E,MATCH($B137,'02_DS_Nhan_Viec'!$B:$B,0)),""))</f>
      </c>
      <c r="G137" s="68">
        <f t="shared" si="1"/>
      </c>
      <c r="H137" s="68">
        <f t="shared" si="2"/>
      </c>
      <c r="I137" s="68"/>
      <c r="J137" s="61"/>
      <c r="K137" s="61"/>
      <c r="L137" s="61"/>
      <c r="M137" s="61"/>
      <c r="N137" s="61"/>
      <c r="O137" s="61"/>
      <c r="P137" s="92"/>
      <c r="Q137" s="92"/>
      <c r="R137" s="93">
        <f t="shared" si="3"/>
      </c>
      <c r="S137" s="61"/>
      <c r="T137" s="61"/>
      <c r="U137" s="61"/>
      <c r="V137" s="61"/>
      <c r="W137" s="61">
        <f t="shared" si="4"/>
      </c>
      <c r="X137" s="94">
        <f t="shared" si="5"/>
      </c>
      <c r="Y137" s="94">
        <f t="shared" si="6"/>
      </c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95"/>
      <c r="AM137" s="61"/>
      <c r="AN137" s="61"/>
      <c r="AO137" s="68"/>
      <c r="AP137" s="61"/>
      <c r="AQ137" s="61"/>
      <c r="AR137" s="61"/>
      <c r="AS137" s="61"/>
      <c r="AT137" s="61"/>
      <c r="AU137" s="61"/>
      <c r="AV137" s="92"/>
      <c r="AW137" s="92"/>
      <c r="AX137" s="93">
        <f t="shared" si="7"/>
      </c>
      <c r="AY137" s="61"/>
      <c r="AZ137" s="61"/>
      <c r="BA137" s="61"/>
      <c r="BB137" s="61"/>
      <c r="BC137" s="61">
        <f t="shared" si="11"/>
      </c>
      <c r="BD137" s="94">
        <f t="shared" si="12"/>
      </c>
      <c r="BE137" s="94">
        <f t="shared" si="13"/>
      </c>
      <c r="BF137" s="61"/>
      <c r="BG137" s="61"/>
      <c r="BH137" s="61"/>
      <c r="BI137" s="61"/>
      <c r="BJ137" s="61"/>
      <c r="BK137" s="61"/>
      <c r="BL137" s="61"/>
      <c r="BM137" s="61"/>
      <c r="BN137" s="61"/>
      <c r="BO137" s="61"/>
      <c r="BP137" s="61"/>
      <c r="BQ137" s="61"/>
      <c r="BR137" s="95"/>
      <c r="BS137" s="61"/>
      <c r="BT137" s="61"/>
    </row>
    <row r="138" ht="14.25" customHeight="1" spans="1:72" x14ac:dyDescent="0.25">
      <c r="A138" s="61">
        <f t="shared" si="0"/>
      </c>
      <c r="B138" s="61">
        <f t="array" ref="B138">IFERROR(INDEX('02_DS_Nhan_Viec'!$B:$B,MATCH(ROW()-1,'02_DS_Nhan_Viec'!$M:$M,0)),"")</f>
      </c>
      <c r="C138" s="61">
        <f t="array" ref="C138">IF($B138="","",IFERROR(INDEX('01_UngVien_PhongVan'!$D:$D,MATCH($B138,'01_UngVien_PhongVan'!$B:$B,0)),"Không tìm thấy mã ứng viên"))</f>
      </c>
      <c r="D138" s="61">
        <f t="array" ref="D138">IF($B138="","",IFERROR(INDEX('01_UngVien_PhongVan'!$R:$R,MATCH($B138,'01_UngVien_PhongVan'!$B:$B,0)),""))</f>
      </c>
      <c r="E138" s="61">
        <f t="array" ref="E138">IF($B138="","",IFERROR(INDEX('02_DS_Nhan_Viec'!$H:$H,MATCH($B138,'02_DS_Nhan_Viec'!$B:$B,0)),""))</f>
      </c>
      <c r="F138" s="68">
        <f t="array" ref="F138">IF($B138="","",IFERROR(INDEX('02_DS_Nhan_Viec'!$E:$E,MATCH($B138,'02_DS_Nhan_Viec'!$B:$B,0)),""))</f>
      </c>
      <c r="G138" s="68">
        <f t="shared" si="1"/>
      </c>
      <c r="H138" s="68">
        <f t="shared" si="2"/>
      </c>
      <c r="I138" s="68"/>
      <c r="J138" s="61"/>
      <c r="K138" s="61"/>
      <c r="L138" s="61"/>
      <c r="M138" s="61"/>
      <c r="N138" s="61"/>
      <c r="O138" s="61"/>
      <c r="P138" s="92"/>
      <c r="Q138" s="92"/>
      <c r="R138" s="93">
        <f t="shared" si="3"/>
      </c>
      <c r="S138" s="61"/>
      <c r="T138" s="61"/>
      <c r="U138" s="61"/>
      <c r="V138" s="61"/>
      <c r="W138" s="61">
        <f t="shared" si="4"/>
      </c>
      <c r="X138" s="94">
        <f t="shared" si="5"/>
      </c>
      <c r="Y138" s="94">
        <f t="shared" si="6"/>
      </c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95"/>
      <c r="AM138" s="61"/>
      <c r="AN138" s="61"/>
      <c r="AO138" s="68"/>
      <c r="AP138" s="61"/>
      <c r="AQ138" s="61"/>
      <c r="AR138" s="61"/>
      <c r="AS138" s="61"/>
      <c r="AT138" s="61"/>
      <c r="AU138" s="61"/>
      <c r="AV138" s="92"/>
      <c r="AW138" s="92"/>
      <c r="AX138" s="93">
        <f t="shared" si="7"/>
      </c>
      <c r="AY138" s="61"/>
      <c r="AZ138" s="61"/>
      <c r="BA138" s="61"/>
      <c r="BB138" s="61"/>
      <c r="BC138" s="61">
        <f t="shared" si="11"/>
      </c>
      <c r="BD138" s="94">
        <f t="shared" si="12"/>
      </c>
      <c r="BE138" s="94">
        <f t="shared" si="13"/>
      </c>
      <c r="BF138" s="61"/>
      <c r="BG138" s="61"/>
      <c r="BH138" s="61"/>
      <c r="BI138" s="61"/>
      <c r="BJ138" s="61"/>
      <c r="BK138" s="61"/>
      <c r="BL138" s="61"/>
      <c r="BM138" s="61"/>
      <c r="BN138" s="61"/>
      <c r="BO138" s="61"/>
      <c r="BP138" s="61"/>
      <c r="BQ138" s="61"/>
      <c r="BR138" s="95"/>
      <c r="BS138" s="61"/>
      <c r="BT138" s="61"/>
    </row>
    <row r="139" ht="14.25" customHeight="1" spans="1:72" x14ac:dyDescent="0.25">
      <c r="A139" s="61">
        <f t="shared" si="0"/>
      </c>
      <c r="B139" s="61">
        <f t="array" ref="B139">IFERROR(INDEX('02_DS_Nhan_Viec'!$B:$B,MATCH(ROW()-1,'02_DS_Nhan_Viec'!$M:$M,0)),"")</f>
      </c>
      <c r="C139" s="61">
        <f t="array" ref="C139">IF($B139="","",IFERROR(INDEX('01_UngVien_PhongVan'!$D:$D,MATCH($B139,'01_UngVien_PhongVan'!$B:$B,0)),"Không tìm thấy mã ứng viên"))</f>
      </c>
      <c r="D139" s="61">
        <f t="array" ref="D139">IF($B139="","",IFERROR(INDEX('01_UngVien_PhongVan'!$R:$R,MATCH($B139,'01_UngVien_PhongVan'!$B:$B,0)),""))</f>
      </c>
      <c r="E139" s="61">
        <f t="array" ref="E139">IF($B139="","",IFERROR(INDEX('02_DS_Nhan_Viec'!$H:$H,MATCH($B139,'02_DS_Nhan_Viec'!$B:$B,0)),""))</f>
      </c>
      <c r="F139" s="68">
        <f t="array" ref="F139">IF($B139="","",IFERROR(INDEX('02_DS_Nhan_Viec'!$E:$E,MATCH($B139,'02_DS_Nhan_Viec'!$B:$B,0)),""))</f>
      </c>
      <c r="G139" s="68">
        <f t="shared" si="1"/>
      </c>
      <c r="H139" s="68">
        <f t="shared" si="2"/>
      </c>
      <c r="I139" s="68"/>
      <c r="J139" s="61"/>
      <c r="K139" s="61"/>
      <c r="L139" s="61"/>
      <c r="M139" s="61"/>
      <c r="N139" s="61"/>
      <c r="O139" s="61"/>
      <c r="P139" s="92"/>
      <c r="Q139" s="92"/>
      <c r="R139" s="93">
        <f t="shared" si="3"/>
      </c>
      <c r="S139" s="61"/>
      <c r="T139" s="61"/>
      <c r="U139" s="61"/>
      <c r="V139" s="61"/>
      <c r="W139" s="61">
        <f t="shared" si="4"/>
      </c>
      <c r="X139" s="94">
        <f t="shared" si="5"/>
      </c>
      <c r="Y139" s="94">
        <f t="shared" si="6"/>
      </c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95"/>
      <c r="AM139" s="61"/>
      <c r="AN139" s="61"/>
      <c r="AO139" s="68"/>
      <c r="AP139" s="61"/>
      <c r="AQ139" s="61"/>
      <c r="AR139" s="61"/>
      <c r="AS139" s="61"/>
      <c r="AT139" s="61"/>
      <c r="AU139" s="61"/>
      <c r="AV139" s="92"/>
      <c r="AW139" s="92"/>
      <c r="AX139" s="93">
        <f t="shared" si="7"/>
      </c>
      <c r="AY139" s="61"/>
      <c r="AZ139" s="61"/>
      <c r="BA139" s="61"/>
      <c r="BB139" s="61"/>
      <c r="BC139" s="61">
        <f t="shared" si="11"/>
      </c>
      <c r="BD139" s="94">
        <f t="shared" si="12"/>
      </c>
      <c r="BE139" s="94">
        <f t="shared" si="13"/>
      </c>
      <c r="BF139" s="61"/>
      <c r="BG139" s="61"/>
      <c r="BH139" s="61"/>
      <c r="BI139" s="61"/>
      <c r="BJ139" s="61"/>
      <c r="BK139" s="61"/>
      <c r="BL139" s="61"/>
      <c r="BM139" s="61"/>
      <c r="BN139" s="61"/>
      <c r="BO139" s="61"/>
      <c r="BP139" s="61"/>
      <c r="BQ139" s="61"/>
      <c r="BR139" s="95"/>
      <c r="BS139" s="61"/>
      <c r="BT139" s="61"/>
    </row>
    <row r="140" ht="14.25" customHeight="1" spans="1:72" x14ac:dyDescent="0.25">
      <c r="A140" s="61">
        <f t="shared" si="0"/>
      </c>
      <c r="B140" s="61">
        <f t="array" ref="B140">IFERROR(INDEX('02_DS_Nhan_Viec'!$B:$B,MATCH(ROW()-1,'02_DS_Nhan_Viec'!$M:$M,0)),"")</f>
      </c>
      <c r="C140" s="61">
        <f t="array" ref="C140">IF($B140="","",IFERROR(INDEX('01_UngVien_PhongVan'!$D:$D,MATCH($B140,'01_UngVien_PhongVan'!$B:$B,0)),"Không tìm thấy mã ứng viên"))</f>
      </c>
      <c r="D140" s="61">
        <f t="array" ref="D140">IF($B140="","",IFERROR(INDEX('01_UngVien_PhongVan'!$R:$R,MATCH($B140,'01_UngVien_PhongVan'!$B:$B,0)),""))</f>
      </c>
      <c r="E140" s="61">
        <f t="array" ref="E140">IF($B140="","",IFERROR(INDEX('02_DS_Nhan_Viec'!$H:$H,MATCH($B140,'02_DS_Nhan_Viec'!$B:$B,0)),""))</f>
      </c>
      <c r="F140" s="68">
        <f t="array" ref="F140">IF($B140="","",IFERROR(INDEX('02_DS_Nhan_Viec'!$E:$E,MATCH($B140,'02_DS_Nhan_Viec'!$B:$B,0)),""))</f>
      </c>
      <c r="G140" s="68">
        <f t="shared" si="1"/>
      </c>
      <c r="H140" s="68">
        <f t="shared" si="2"/>
      </c>
      <c r="I140" s="68"/>
      <c r="J140" s="61"/>
      <c r="K140" s="61"/>
      <c r="L140" s="61"/>
      <c r="M140" s="61"/>
      <c r="N140" s="61"/>
      <c r="O140" s="61"/>
      <c r="P140" s="92"/>
      <c r="Q140" s="92"/>
      <c r="R140" s="93">
        <f t="shared" si="3"/>
      </c>
      <c r="S140" s="61"/>
      <c r="T140" s="61"/>
      <c r="U140" s="61"/>
      <c r="V140" s="61"/>
      <c r="W140" s="61">
        <f t="shared" si="4"/>
      </c>
      <c r="X140" s="94">
        <f t="shared" si="5"/>
      </c>
      <c r="Y140" s="94">
        <f t="shared" si="6"/>
      </c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95"/>
      <c r="AM140" s="61"/>
      <c r="AN140" s="61"/>
      <c r="AO140" s="68"/>
      <c r="AP140" s="61"/>
      <c r="AQ140" s="61"/>
      <c r="AR140" s="61"/>
      <c r="AS140" s="61"/>
      <c r="AT140" s="61"/>
      <c r="AU140" s="61"/>
      <c r="AV140" s="92"/>
      <c r="AW140" s="92"/>
      <c r="AX140" s="93">
        <f t="shared" si="7"/>
      </c>
      <c r="AY140" s="61"/>
      <c r="AZ140" s="61"/>
      <c r="BA140" s="61"/>
      <c r="BB140" s="61"/>
      <c r="BC140" s="61">
        <f t="shared" si="11"/>
      </c>
      <c r="BD140" s="94">
        <f t="shared" si="12"/>
      </c>
      <c r="BE140" s="94">
        <f t="shared" si="13"/>
      </c>
      <c r="BF140" s="61"/>
      <c r="BG140" s="61"/>
      <c r="BH140" s="61"/>
      <c r="BI140" s="61"/>
      <c r="BJ140" s="61"/>
      <c r="BK140" s="61"/>
      <c r="BL140" s="61"/>
      <c r="BM140" s="61"/>
      <c r="BN140" s="61"/>
      <c r="BO140" s="61"/>
      <c r="BP140" s="61"/>
      <c r="BQ140" s="61"/>
      <c r="BR140" s="95"/>
      <c r="BS140" s="61"/>
      <c r="BT140" s="61"/>
    </row>
    <row r="141" ht="14.25" customHeight="1" spans="1:72" x14ac:dyDescent="0.25">
      <c r="A141" s="61">
        <f t="shared" si="0"/>
      </c>
      <c r="B141" s="61">
        <f t="array" ref="B141">IFERROR(INDEX('02_DS_Nhan_Viec'!$B:$B,MATCH(ROW()-1,'02_DS_Nhan_Viec'!$M:$M,0)),"")</f>
      </c>
      <c r="C141" s="61">
        <f t="array" ref="C141">IF($B141="","",IFERROR(INDEX('01_UngVien_PhongVan'!$D:$D,MATCH($B141,'01_UngVien_PhongVan'!$B:$B,0)),"Không tìm thấy mã ứng viên"))</f>
      </c>
      <c r="D141" s="61">
        <f t="array" ref="D141">IF($B141="","",IFERROR(INDEX('01_UngVien_PhongVan'!$R:$R,MATCH($B141,'01_UngVien_PhongVan'!$B:$B,0)),""))</f>
      </c>
      <c r="E141" s="61">
        <f t="array" ref="E141">IF($B141="","",IFERROR(INDEX('02_DS_Nhan_Viec'!$H:$H,MATCH($B141,'02_DS_Nhan_Viec'!$B:$B,0)),""))</f>
      </c>
      <c r="F141" s="68">
        <f t="array" ref="F141">IF($B141="","",IFERROR(INDEX('02_DS_Nhan_Viec'!$E:$E,MATCH($B141,'02_DS_Nhan_Viec'!$B:$B,0)),""))</f>
      </c>
      <c r="G141" s="68">
        <f t="shared" si="1"/>
      </c>
      <c r="H141" s="68">
        <f t="shared" si="2"/>
      </c>
      <c r="I141" s="68"/>
      <c r="J141" s="61"/>
      <c r="K141" s="61"/>
      <c r="L141" s="61"/>
      <c r="M141" s="61"/>
      <c r="N141" s="61"/>
      <c r="O141" s="61"/>
      <c r="P141" s="92"/>
      <c r="Q141" s="92"/>
      <c r="R141" s="93">
        <f t="shared" si="3"/>
      </c>
      <c r="S141" s="61"/>
      <c r="T141" s="61"/>
      <c r="U141" s="61"/>
      <c r="V141" s="61"/>
      <c r="W141" s="61">
        <f t="shared" si="4"/>
      </c>
      <c r="X141" s="94">
        <f t="shared" si="5"/>
      </c>
      <c r="Y141" s="94">
        <f t="shared" si="6"/>
      </c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95"/>
      <c r="AM141" s="61"/>
      <c r="AN141" s="61"/>
      <c r="AO141" s="68"/>
      <c r="AP141" s="61"/>
      <c r="AQ141" s="61"/>
      <c r="AR141" s="61"/>
      <c r="AS141" s="61"/>
      <c r="AT141" s="61"/>
      <c r="AU141" s="61"/>
      <c r="AV141" s="92"/>
      <c r="AW141" s="92"/>
      <c r="AX141" s="93">
        <f t="shared" si="7"/>
      </c>
      <c r="AY141" s="61"/>
      <c r="AZ141" s="61"/>
      <c r="BA141" s="61"/>
      <c r="BB141" s="61"/>
      <c r="BC141" s="61">
        <f t="shared" si="11"/>
      </c>
      <c r="BD141" s="94">
        <f t="shared" si="12"/>
      </c>
      <c r="BE141" s="94">
        <f t="shared" si="13"/>
      </c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95"/>
      <c r="BS141" s="61"/>
      <c r="BT141" s="61"/>
    </row>
    <row r="142" ht="14.25" customHeight="1" spans="1:72" x14ac:dyDescent="0.25">
      <c r="A142" s="61">
        <f t="shared" si="0"/>
      </c>
      <c r="B142" s="61">
        <f t="array" ref="B142">IFERROR(INDEX('02_DS_Nhan_Viec'!$B:$B,MATCH(ROW()-1,'02_DS_Nhan_Viec'!$M:$M,0)),"")</f>
      </c>
      <c r="C142" s="61">
        <f t="array" ref="C142">IF($B142="","",IFERROR(INDEX('01_UngVien_PhongVan'!$D:$D,MATCH($B142,'01_UngVien_PhongVan'!$B:$B,0)),"Không tìm thấy mã ứng viên"))</f>
      </c>
      <c r="D142" s="61">
        <f t="array" ref="D142">IF($B142="","",IFERROR(INDEX('01_UngVien_PhongVan'!$R:$R,MATCH($B142,'01_UngVien_PhongVan'!$B:$B,0)),""))</f>
      </c>
      <c r="E142" s="61">
        <f t="array" ref="E142">IF($B142="","",IFERROR(INDEX('02_DS_Nhan_Viec'!$H:$H,MATCH($B142,'02_DS_Nhan_Viec'!$B:$B,0)),""))</f>
      </c>
      <c r="F142" s="68">
        <f t="array" ref="F142">IF($B142="","",IFERROR(INDEX('02_DS_Nhan_Viec'!$E:$E,MATCH($B142,'02_DS_Nhan_Viec'!$B:$B,0)),""))</f>
      </c>
      <c r="G142" s="68">
        <f t="shared" si="1"/>
      </c>
      <c r="H142" s="68">
        <f t="shared" si="2"/>
      </c>
      <c r="I142" s="68"/>
      <c r="J142" s="61"/>
      <c r="K142" s="61"/>
      <c r="L142" s="61"/>
      <c r="M142" s="61"/>
      <c r="N142" s="61"/>
      <c r="O142" s="61"/>
      <c r="P142" s="92"/>
      <c r="Q142" s="92"/>
      <c r="R142" s="93">
        <f t="shared" si="3"/>
      </c>
      <c r="S142" s="61"/>
      <c r="T142" s="61"/>
      <c r="U142" s="61"/>
      <c r="V142" s="61"/>
      <c r="W142" s="61">
        <f t="shared" si="4"/>
      </c>
      <c r="X142" s="94">
        <f t="shared" si="5"/>
      </c>
      <c r="Y142" s="94">
        <f t="shared" si="6"/>
      </c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95"/>
      <c r="AM142" s="61"/>
      <c r="AN142" s="61"/>
      <c r="AO142" s="68"/>
      <c r="AP142" s="61"/>
      <c r="AQ142" s="61"/>
      <c r="AR142" s="61"/>
      <c r="AS142" s="61"/>
      <c r="AT142" s="61"/>
      <c r="AU142" s="61"/>
      <c r="AV142" s="92"/>
      <c r="AW142" s="92"/>
      <c r="AX142" s="93">
        <f t="shared" si="7"/>
      </c>
      <c r="AY142" s="61"/>
      <c r="AZ142" s="61"/>
      <c r="BA142" s="61"/>
      <c r="BB142" s="61"/>
      <c r="BC142" s="61">
        <f t="shared" si="11"/>
      </c>
      <c r="BD142" s="94">
        <f t="shared" si="12"/>
      </c>
      <c r="BE142" s="94">
        <f t="shared" si="13"/>
      </c>
      <c r="BF142" s="61"/>
      <c r="BG142" s="61"/>
      <c r="BH142" s="61"/>
      <c r="BI142" s="61"/>
      <c r="BJ142" s="61"/>
      <c r="BK142" s="61"/>
      <c r="BL142" s="61"/>
      <c r="BM142" s="61"/>
      <c r="BN142" s="61"/>
      <c r="BO142" s="61"/>
      <c r="BP142" s="61"/>
      <c r="BQ142" s="61"/>
      <c r="BR142" s="95"/>
      <c r="BS142" s="61"/>
      <c r="BT142" s="61"/>
    </row>
    <row r="143" ht="14.25" customHeight="1" spans="1:72" x14ac:dyDescent="0.25">
      <c r="A143" s="61">
        <f t="shared" si="0"/>
      </c>
      <c r="B143" s="61">
        <f t="array" ref="B143">IFERROR(INDEX('02_DS_Nhan_Viec'!$B:$B,MATCH(ROW()-1,'02_DS_Nhan_Viec'!$M:$M,0)),"")</f>
      </c>
      <c r="C143" s="61">
        <f t="array" ref="C143">IF($B143="","",IFERROR(INDEX('01_UngVien_PhongVan'!$D:$D,MATCH($B143,'01_UngVien_PhongVan'!$B:$B,0)),"Không tìm thấy mã ứng viên"))</f>
      </c>
      <c r="D143" s="61">
        <f t="array" ref="D143">IF($B143="","",IFERROR(INDEX('01_UngVien_PhongVan'!$R:$R,MATCH($B143,'01_UngVien_PhongVan'!$B:$B,0)),""))</f>
      </c>
      <c r="E143" s="61">
        <f t="array" ref="E143">IF($B143="","",IFERROR(INDEX('02_DS_Nhan_Viec'!$H:$H,MATCH($B143,'02_DS_Nhan_Viec'!$B:$B,0)),""))</f>
      </c>
      <c r="F143" s="68">
        <f t="array" ref="F143">IF($B143="","",IFERROR(INDEX('02_DS_Nhan_Viec'!$E:$E,MATCH($B143,'02_DS_Nhan_Viec'!$B:$B,0)),""))</f>
      </c>
      <c r="G143" s="68">
        <f t="shared" si="1"/>
      </c>
      <c r="H143" s="68">
        <f t="shared" si="2"/>
      </c>
      <c r="I143" s="68"/>
      <c r="J143" s="61"/>
      <c r="K143" s="61"/>
      <c r="L143" s="61"/>
      <c r="M143" s="61"/>
      <c r="N143" s="61"/>
      <c r="O143" s="61"/>
      <c r="P143" s="92"/>
      <c r="Q143" s="92"/>
      <c r="R143" s="93">
        <f t="shared" si="3"/>
      </c>
      <c r="S143" s="61"/>
      <c r="T143" s="61"/>
      <c r="U143" s="61"/>
      <c r="V143" s="61"/>
      <c r="W143" s="61">
        <f t="shared" si="4"/>
      </c>
      <c r="X143" s="94">
        <f t="shared" si="5"/>
      </c>
      <c r="Y143" s="94">
        <f t="shared" si="6"/>
      </c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95"/>
      <c r="AM143" s="61"/>
      <c r="AN143" s="61"/>
      <c r="AO143" s="68"/>
      <c r="AP143" s="61"/>
      <c r="AQ143" s="61"/>
      <c r="AR143" s="61"/>
      <c r="AS143" s="61"/>
      <c r="AT143" s="61"/>
      <c r="AU143" s="61"/>
      <c r="AV143" s="92"/>
      <c r="AW143" s="92"/>
      <c r="AX143" s="93">
        <f t="shared" si="7"/>
      </c>
      <c r="AY143" s="61"/>
      <c r="AZ143" s="61"/>
      <c r="BA143" s="61"/>
      <c r="BB143" s="61"/>
      <c r="BC143" s="61">
        <f t="shared" si="11"/>
      </c>
      <c r="BD143" s="94">
        <f t="shared" si="12"/>
      </c>
      <c r="BE143" s="94">
        <f t="shared" si="13"/>
      </c>
      <c r="BF143" s="61"/>
      <c r="BG143" s="61"/>
      <c r="BH143" s="61"/>
      <c r="BI143" s="61"/>
      <c r="BJ143" s="61"/>
      <c r="BK143" s="61"/>
      <c r="BL143" s="61"/>
      <c r="BM143" s="61"/>
      <c r="BN143" s="61"/>
      <c r="BO143" s="61"/>
      <c r="BP143" s="61"/>
      <c r="BQ143" s="61"/>
      <c r="BR143" s="95"/>
      <c r="BS143" s="61"/>
      <c r="BT143" s="61"/>
    </row>
    <row r="144" ht="14.25" customHeight="1" spans="1:72" x14ac:dyDescent="0.25">
      <c r="A144" s="61">
        <f t="shared" si="0"/>
      </c>
      <c r="B144" s="61">
        <f t="array" ref="B144">IFERROR(INDEX('02_DS_Nhan_Viec'!$B:$B,MATCH(ROW()-1,'02_DS_Nhan_Viec'!$M:$M,0)),"")</f>
      </c>
      <c r="C144" s="61">
        <f t="array" ref="C144">IF($B144="","",IFERROR(INDEX('01_UngVien_PhongVan'!$D:$D,MATCH($B144,'01_UngVien_PhongVan'!$B:$B,0)),"Không tìm thấy mã ứng viên"))</f>
      </c>
      <c r="D144" s="61">
        <f t="array" ref="D144">IF($B144="","",IFERROR(INDEX('01_UngVien_PhongVan'!$R:$R,MATCH($B144,'01_UngVien_PhongVan'!$B:$B,0)),""))</f>
      </c>
      <c r="E144" s="61">
        <f t="array" ref="E144">IF($B144="","",IFERROR(INDEX('02_DS_Nhan_Viec'!$H:$H,MATCH($B144,'02_DS_Nhan_Viec'!$B:$B,0)),""))</f>
      </c>
      <c r="F144" s="68">
        <f t="array" ref="F144">IF($B144="","",IFERROR(INDEX('02_DS_Nhan_Viec'!$E:$E,MATCH($B144,'02_DS_Nhan_Viec'!$B:$B,0)),""))</f>
      </c>
      <c r="G144" s="68">
        <f t="shared" si="1"/>
      </c>
      <c r="H144" s="68">
        <f t="shared" si="2"/>
      </c>
      <c r="I144" s="68"/>
      <c r="J144" s="61"/>
      <c r="K144" s="61"/>
      <c r="L144" s="61"/>
      <c r="M144" s="61"/>
      <c r="N144" s="61"/>
      <c r="O144" s="61"/>
      <c r="P144" s="92"/>
      <c r="Q144" s="92"/>
      <c r="R144" s="93">
        <f t="shared" si="3"/>
      </c>
      <c r="S144" s="61"/>
      <c r="T144" s="61"/>
      <c r="U144" s="61"/>
      <c r="V144" s="61"/>
      <c r="W144" s="61">
        <f t="shared" si="4"/>
      </c>
      <c r="X144" s="94">
        <f t="shared" si="5"/>
      </c>
      <c r="Y144" s="94">
        <f t="shared" si="6"/>
      </c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95"/>
      <c r="AM144" s="61"/>
      <c r="AN144" s="61"/>
      <c r="AO144" s="68"/>
      <c r="AP144" s="61"/>
      <c r="AQ144" s="61"/>
      <c r="AR144" s="61"/>
      <c r="AS144" s="61"/>
      <c r="AT144" s="61"/>
      <c r="AU144" s="61"/>
      <c r="AV144" s="92"/>
      <c r="AW144" s="92"/>
      <c r="AX144" s="93">
        <f t="shared" si="7"/>
      </c>
      <c r="AY144" s="61"/>
      <c r="AZ144" s="61"/>
      <c r="BA144" s="61"/>
      <c r="BB144" s="61"/>
      <c r="BC144" s="61">
        <f t="shared" si="11"/>
      </c>
      <c r="BD144" s="94">
        <f t="shared" si="12"/>
      </c>
      <c r="BE144" s="94">
        <f t="shared" si="13"/>
      </c>
      <c r="BF144" s="61"/>
      <c r="BG144" s="61"/>
      <c r="BH144" s="61"/>
      <c r="BI144" s="61"/>
      <c r="BJ144" s="61"/>
      <c r="BK144" s="61"/>
      <c r="BL144" s="61"/>
      <c r="BM144" s="61"/>
      <c r="BN144" s="61"/>
      <c r="BO144" s="61"/>
      <c r="BP144" s="61"/>
      <c r="BQ144" s="61"/>
      <c r="BR144" s="95"/>
      <c r="BS144" s="61"/>
      <c r="BT144" s="61"/>
    </row>
    <row r="145" ht="14.25" customHeight="1" spans="1:72" x14ac:dyDescent="0.25">
      <c r="A145" s="61">
        <f t="shared" si="0"/>
      </c>
      <c r="B145" s="61">
        <f t="array" ref="B145">IFERROR(INDEX('02_DS_Nhan_Viec'!$B:$B,MATCH(ROW()-1,'02_DS_Nhan_Viec'!$M:$M,0)),"")</f>
      </c>
      <c r="C145" s="61">
        <f t="array" ref="C145">IF($B145="","",IFERROR(INDEX('01_UngVien_PhongVan'!$D:$D,MATCH($B145,'01_UngVien_PhongVan'!$B:$B,0)),"Không tìm thấy mã ứng viên"))</f>
      </c>
      <c r="D145" s="61">
        <f t="array" ref="D145">IF($B145="","",IFERROR(INDEX('01_UngVien_PhongVan'!$R:$R,MATCH($B145,'01_UngVien_PhongVan'!$B:$B,0)),""))</f>
      </c>
      <c r="E145" s="61">
        <f t="array" ref="E145">IF($B145="","",IFERROR(INDEX('02_DS_Nhan_Viec'!$H:$H,MATCH($B145,'02_DS_Nhan_Viec'!$B:$B,0)),""))</f>
      </c>
      <c r="F145" s="68">
        <f t="array" ref="F145">IF($B145="","",IFERROR(INDEX('02_DS_Nhan_Viec'!$E:$E,MATCH($B145,'02_DS_Nhan_Viec'!$B:$B,0)),""))</f>
      </c>
      <c r="G145" s="68">
        <f t="shared" si="1"/>
      </c>
      <c r="H145" s="68">
        <f t="shared" si="2"/>
      </c>
      <c r="I145" s="68"/>
      <c r="J145" s="61"/>
      <c r="K145" s="61"/>
      <c r="L145" s="61"/>
      <c r="M145" s="61"/>
      <c r="N145" s="61"/>
      <c r="O145" s="61"/>
      <c r="P145" s="92"/>
      <c r="Q145" s="92"/>
      <c r="R145" s="93">
        <f t="shared" si="3"/>
      </c>
      <c r="S145" s="61"/>
      <c r="T145" s="61"/>
      <c r="U145" s="61"/>
      <c r="V145" s="61"/>
      <c r="W145" s="61">
        <f t="shared" si="4"/>
      </c>
      <c r="X145" s="94">
        <f t="shared" si="5"/>
      </c>
      <c r="Y145" s="94">
        <f t="shared" si="6"/>
      </c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95"/>
      <c r="AM145" s="61"/>
      <c r="AN145" s="61"/>
      <c r="AO145" s="68"/>
      <c r="AP145" s="61"/>
      <c r="AQ145" s="61"/>
      <c r="AR145" s="61"/>
      <c r="AS145" s="61"/>
      <c r="AT145" s="61"/>
      <c r="AU145" s="61"/>
      <c r="AV145" s="92"/>
      <c r="AW145" s="92"/>
      <c r="AX145" s="93">
        <f t="shared" si="7"/>
      </c>
      <c r="AY145" s="61"/>
      <c r="AZ145" s="61"/>
      <c r="BA145" s="61"/>
      <c r="BB145" s="61"/>
      <c r="BC145" s="61">
        <f t="shared" si="11"/>
      </c>
      <c r="BD145" s="94">
        <f t="shared" si="12"/>
      </c>
      <c r="BE145" s="94">
        <f t="shared" si="13"/>
      </c>
      <c r="BF145" s="61"/>
      <c r="BG145" s="61"/>
      <c r="BH145" s="61"/>
      <c r="BI145" s="61"/>
      <c r="BJ145" s="61"/>
      <c r="BK145" s="61"/>
      <c r="BL145" s="61"/>
      <c r="BM145" s="61"/>
      <c r="BN145" s="61"/>
      <c r="BO145" s="61"/>
      <c r="BP145" s="61"/>
      <c r="BQ145" s="61"/>
      <c r="BR145" s="95"/>
      <c r="BS145" s="61"/>
      <c r="BT145" s="61"/>
    </row>
    <row r="146" ht="14.25" customHeight="1" spans="1:72" x14ac:dyDescent="0.25">
      <c r="A146" s="61">
        <f t="shared" si="0"/>
      </c>
      <c r="B146" s="61">
        <f t="array" ref="B146">IFERROR(INDEX('02_DS_Nhan_Viec'!$B:$B,MATCH(ROW()-1,'02_DS_Nhan_Viec'!$M:$M,0)),"")</f>
      </c>
      <c r="C146" s="61">
        <f t="array" ref="C146">IF($B146="","",IFERROR(INDEX('01_UngVien_PhongVan'!$D:$D,MATCH($B146,'01_UngVien_PhongVan'!$B:$B,0)),"Không tìm thấy mã ứng viên"))</f>
      </c>
      <c r="D146" s="61">
        <f t="array" ref="D146">IF($B146="","",IFERROR(INDEX('01_UngVien_PhongVan'!$R:$R,MATCH($B146,'01_UngVien_PhongVan'!$B:$B,0)),""))</f>
      </c>
      <c r="E146" s="61">
        <f t="array" ref="E146">IF($B146="","",IFERROR(INDEX('02_DS_Nhan_Viec'!$H:$H,MATCH($B146,'02_DS_Nhan_Viec'!$B:$B,0)),""))</f>
      </c>
      <c r="F146" s="68">
        <f t="array" ref="F146">IF($B146="","",IFERROR(INDEX('02_DS_Nhan_Viec'!$E:$E,MATCH($B146,'02_DS_Nhan_Viec'!$B:$B,0)),""))</f>
      </c>
      <c r="G146" s="68">
        <f t="shared" si="1"/>
      </c>
      <c r="H146" s="68">
        <f t="shared" si="2"/>
      </c>
      <c r="I146" s="68"/>
      <c r="J146" s="61"/>
      <c r="K146" s="61"/>
      <c r="L146" s="61"/>
      <c r="M146" s="61"/>
      <c r="N146" s="61"/>
      <c r="O146" s="61"/>
      <c r="P146" s="92"/>
      <c r="Q146" s="92"/>
      <c r="R146" s="93">
        <f t="shared" si="3"/>
      </c>
      <c r="S146" s="61"/>
      <c r="T146" s="61"/>
      <c r="U146" s="61"/>
      <c r="V146" s="61"/>
      <c r="W146" s="61">
        <f t="shared" si="4"/>
      </c>
      <c r="X146" s="94">
        <f t="shared" si="5"/>
      </c>
      <c r="Y146" s="94">
        <f t="shared" si="6"/>
      </c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  <c r="AK146" s="61"/>
      <c r="AL146" s="95"/>
      <c r="AM146" s="61"/>
      <c r="AN146" s="61"/>
      <c r="AO146" s="68"/>
      <c r="AP146" s="61"/>
      <c r="AQ146" s="61"/>
      <c r="AR146" s="61"/>
      <c r="AS146" s="61"/>
      <c r="AT146" s="61"/>
      <c r="AU146" s="61"/>
      <c r="AV146" s="92"/>
      <c r="AW146" s="92"/>
      <c r="AX146" s="93">
        <f t="shared" si="7"/>
      </c>
      <c r="AY146" s="61"/>
      <c r="AZ146" s="61"/>
      <c r="BA146" s="61"/>
      <c r="BB146" s="61"/>
      <c r="BC146" s="61">
        <f t="shared" si="11"/>
      </c>
      <c r="BD146" s="94">
        <f t="shared" si="12"/>
      </c>
      <c r="BE146" s="94">
        <f t="shared" si="13"/>
      </c>
      <c r="BF146" s="61"/>
      <c r="BG146" s="61"/>
      <c r="BH146" s="61"/>
      <c r="BI146" s="61"/>
      <c r="BJ146" s="61"/>
      <c r="BK146" s="61"/>
      <c r="BL146" s="61"/>
      <c r="BM146" s="61"/>
      <c r="BN146" s="61"/>
      <c r="BO146" s="61"/>
      <c r="BP146" s="61"/>
      <c r="BQ146" s="61"/>
      <c r="BR146" s="95"/>
      <c r="BS146" s="61"/>
      <c r="BT146" s="61"/>
    </row>
    <row r="147" ht="14.25" customHeight="1" spans="1:72" x14ac:dyDescent="0.25">
      <c r="A147" s="61">
        <f t="shared" si="0"/>
      </c>
      <c r="B147" s="61">
        <f t="array" ref="B147">IFERROR(INDEX('02_DS_Nhan_Viec'!$B:$B,MATCH(ROW()-1,'02_DS_Nhan_Viec'!$M:$M,0)),"")</f>
      </c>
      <c r="C147" s="61">
        <f t="array" ref="C147">IF($B147="","",IFERROR(INDEX('01_UngVien_PhongVan'!$D:$D,MATCH($B147,'01_UngVien_PhongVan'!$B:$B,0)),"Không tìm thấy mã ứng viên"))</f>
      </c>
      <c r="D147" s="61">
        <f t="array" ref="D147">IF($B147="","",IFERROR(INDEX('01_UngVien_PhongVan'!$R:$R,MATCH($B147,'01_UngVien_PhongVan'!$B:$B,0)),""))</f>
      </c>
      <c r="E147" s="61">
        <f t="array" ref="E147">IF($B147="","",IFERROR(INDEX('02_DS_Nhan_Viec'!$H:$H,MATCH($B147,'02_DS_Nhan_Viec'!$B:$B,0)),""))</f>
      </c>
      <c r="F147" s="68">
        <f t="array" ref="F147">IF($B147="","",IFERROR(INDEX('02_DS_Nhan_Viec'!$E:$E,MATCH($B147,'02_DS_Nhan_Viec'!$B:$B,0)),""))</f>
      </c>
      <c r="G147" s="68">
        <f t="shared" si="1"/>
      </c>
      <c r="H147" s="68">
        <f t="shared" si="2"/>
      </c>
      <c r="I147" s="68"/>
      <c r="J147" s="61"/>
      <c r="K147" s="61"/>
      <c r="L147" s="61"/>
      <c r="M147" s="61"/>
      <c r="N147" s="61"/>
      <c r="O147" s="61"/>
      <c r="P147" s="92"/>
      <c r="Q147" s="92"/>
      <c r="R147" s="93">
        <f t="shared" si="3"/>
      </c>
      <c r="S147" s="61"/>
      <c r="T147" s="61"/>
      <c r="U147" s="61"/>
      <c r="V147" s="61"/>
      <c r="W147" s="61">
        <f t="shared" si="4"/>
      </c>
      <c r="X147" s="94">
        <f t="shared" si="5"/>
      </c>
      <c r="Y147" s="94">
        <f t="shared" si="6"/>
      </c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95"/>
      <c r="AM147" s="61"/>
      <c r="AN147" s="61"/>
      <c r="AO147" s="68"/>
      <c r="AP147" s="61"/>
      <c r="AQ147" s="61"/>
      <c r="AR147" s="61"/>
      <c r="AS147" s="61"/>
      <c r="AT147" s="61"/>
      <c r="AU147" s="61"/>
      <c r="AV147" s="92"/>
      <c r="AW147" s="92"/>
      <c r="AX147" s="93">
        <f t="shared" si="7"/>
      </c>
      <c r="AY147" s="61"/>
      <c r="AZ147" s="61"/>
      <c r="BA147" s="61"/>
      <c r="BB147" s="61"/>
      <c r="BC147" s="61">
        <f t="shared" si="11"/>
      </c>
      <c r="BD147" s="94">
        <f t="shared" si="12"/>
      </c>
      <c r="BE147" s="94">
        <f t="shared" si="13"/>
      </c>
      <c r="BF147" s="61"/>
      <c r="BG147" s="61"/>
      <c r="BH147" s="61"/>
      <c r="BI147" s="61"/>
      <c r="BJ147" s="61"/>
      <c r="BK147" s="61"/>
      <c r="BL147" s="61"/>
      <c r="BM147" s="61"/>
      <c r="BN147" s="61"/>
      <c r="BO147" s="61"/>
      <c r="BP147" s="61"/>
      <c r="BQ147" s="61"/>
      <c r="BR147" s="95"/>
      <c r="BS147" s="61"/>
      <c r="BT147" s="61"/>
    </row>
    <row r="148" ht="14.25" customHeight="1" spans="1:72" x14ac:dyDescent="0.25">
      <c r="A148" s="61">
        <f t="shared" si="0"/>
      </c>
      <c r="B148" s="61">
        <f t="array" ref="B148">IFERROR(INDEX('02_DS_Nhan_Viec'!$B:$B,MATCH(ROW()-1,'02_DS_Nhan_Viec'!$M:$M,0)),"")</f>
      </c>
      <c r="C148" s="61">
        <f t="array" ref="C148">IF($B148="","",IFERROR(INDEX('01_UngVien_PhongVan'!$D:$D,MATCH($B148,'01_UngVien_PhongVan'!$B:$B,0)),"Không tìm thấy mã ứng viên"))</f>
      </c>
      <c r="D148" s="61">
        <f t="array" ref="D148">IF($B148="","",IFERROR(INDEX('01_UngVien_PhongVan'!$R:$R,MATCH($B148,'01_UngVien_PhongVan'!$B:$B,0)),""))</f>
      </c>
      <c r="E148" s="61">
        <f t="array" ref="E148">IF($B148="","",IFERROR(INDEX('02_DS_Nhan_Viec'!$H:$H,MATCH($B148,'02_DS_Nhan_Viec'!$B:$B,0)),""))</f>
      </c>
      <c r="F148" s="68">
        <f t="array" ref="F148">IF($B148="","",IFERROR(INDEX('02_DS_Nhan_Viec'!$E:$E,MATCH($B148,'02_DS_Nhan_Viec'!$B:$B,0)),""))</f>
      </c>
      <c r="G148" s="68">
        <f t="shared" si="1"/>
      </c>
      <c r="H148" s="68">
        <f t="shared" si="2"/>
      </c>
      <c r="I148" s="68"/>
      <c r="J148" s="61"/>
      <c r="K148" s="61"/>
      <c r="L148" s="61"/>
      <c r="M148" s="61"/>
      <c r="N148" s="61"/>
      <c r="O148" s="61"/>
      <c r="P148" s="92"/>
      <c r="Q148" s="92"/>
      <c r="R148" s="93">
        <f t="shared" si="3"/>
      </c>
      <c r="S148" s="61"/>
      <c r="T148" s="61"/>
      <c r="U148" s="61"/>
      <c r="V148" s="61"/>
      <c r="W148" s="61">
        <f t="shared" si="4"/>
      </c>
      <c r="X148" s="94">
        <f t="shared" si="5"/>
      </c>
      <c r="Y148" s="94">
        <f t="shared" si="6"/>
      </c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95"/>
      <c r="AM148" s="61"/>
      <c r="AN148" s="61"/>
      <c r="AO148" s="68"/>
      <c r="AP148" s="61"/>
      <c r="AQ148" s="61"/>
      <c r="AR148" s="61"/>
      <c r="AS148" s="61"/>
      <c r="AT148" s="61"/>
      <c r="AU148" s="61"/>
      <c r="AV148" s="92"/>
      <c r="AW148" s="92"/>
      <c r="AX148" s="93">
        <f t="shared" si="7"/>
      </c>
      <c r="AY148" s="61"/>
      <c r="AZ148" s="61"/>
      <c r="BA148" s="61"/>
      <c r="BB148" s="61"/>
      <c r="BC148" s="61">
        <f t="shared" si="11"/>
      </c>
      <c r="BD148" s="94">
        <f t="shared" si="12"/>
      </c>
      <c r="BE148" s="94">
        <f t="shared" si="13"/>
      </c>
      <c r="BF148" s="61"/>
      <c r="BG148" s="61"/>
      <c r="BH148" s="61"/>
      <c r="BI148" s="61"/>
      <c r="BJ148" s="61"/>
      <c r="BK148" s="61"/>
      <c r="BL148" s="61"/>
      <c r="BM148" s="61"/>
      <c r="BN148" s="61"/>
      <c r="BO148" s="61"/>
      <c r="BP148" s="61"/>
      <c r="BQ148" s="61"/>
      <c r="BR148" s="95"/>
      <c r="BS148" s="61"/>
      <c r="BT148" s="61"/>
    </row>
    <row r="149" ht="14.25" customHeight="1" spans="1:72" x14ac:dyDescent="0.25">
      <c r="A149" s="61">
        <f t="shared" si="0"/>
      </c>
      <c r="B149" s="61">
        <f t="array" ref="B149">IFERROR(INDEX('02_DS_Nhan_Viec'!$B:$B,MATCH(ROW()-1,'02_DS_Nhan_Viec'!$M:$M,0)),"")</f>
      </c>
      <c r="C149" s="61">
        <f t="array" ref="C149">IF($B149="","",IFERROR(INDEX('01_UngVien_PhongVan'!$D:$D,MATCH($B149,'01_UngVien_PhongVan'!$B:$B,0)),"Không tìm thấy mã ứng viên"))</f>
      </c>
      <c r="D149" s="61">
        <f t="array" ref="D149">IF($B149="","",IFERROR(INDEX('01_UngVien_PhongVan'!$R:$R,MATCH($B149,'01_UngVien_PhongVan'!$B:$B,0)),""))</f>
      </c>
      <c r="E149" s="61">
        <f t="array" ref="E149">IF($B149="","",IFERROR(INDEX('02_DS_Nhan_Viec'!$H:$H,MATCH($B149,'02_DS_Nhan_Viec'!$B:$B,0)),""))</f>
      </c>
      <c r="F149" s="68">
        <f t="array" ref="F149">IF($B149="","",IFERROR(INDEX('02_DS_Nhan_Viec'!$E:$E,MATCH($B149,'02_DS_Nhan_Viec'!$B:$B,0)),""))</f>
      </c>
      <c r="G149" s="68">
        <f t="shared" si="1"/>
      </c>
      <c r="H149" s="68">
        <f t="shared" si="2"/>
      </c>
      <c r="I149" s="68"/>
      <c r="J149" s="61"/>
      <c r="K149" s="61"/>
      <c r="L149" s="61"/>
      <c r="M149" s="61"/>
      <c r="N149" s="61"/>
      <c r="O149" s="61"/>
      <c r="P149" s="92"/>
      <c r="Q149" s="92"/>
      <c r="R149" s="93">
        <f t="shared" si="3"/>
      </c>
      <c r="S149" s="61"/>
      <c r="T149" s="61"/>
      <c r="U149" s="61"/>
      <c r="V149" s="61"/>
      <c r="W149" s="61">
        <f t="shared" si="4"/>
      </c>
      <c r="X149" s="94">
        <f t="shared" si="5"/>
      </c>
      <c r="Y149" s="94">
        <f t="shared" si="6"/>
      </c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95"/>
      <c r="AM149" s="61"/>
      <c r="AN149" s="61"/>
      <c r="AO149" s="68"/>
      <c r="AP149" s="61"/>
      <c r="AQ149" s="61"/>
      <c r="AR149" s="61"/>
      <c r="AS149" s="61"/>
      <c r="AT149" s="61"/>
      <c r="AU149" s="61"/>
      <c r="AV149" s="92"/>
      <c r="AW149" s="92"/>
      <c r="AX149" s="93">
        <f t="shared" si="7"/>
      </c>
      <c r="AY149" s="61"/>
      <c r="AZ149" s="61"/>
      <c r="BA149" s="61"/>
      <c r="BB149" s="61"/>
      <c r="BC149" s="61">
        <f t="shared" si="11"/>
      </c>
      <c r="BD149" s="94">
        <f t="shared" si="12"/>
      </c>
      <c r="BE149" s="94">
        <f t="shared" si="13"/>
      </c>
      <c r="BF149" s="61"/>
      <c r="BG149" s="61"/>
      <c r="BH149" s="61"/>
      <c r="BI149" s="61"/>
      <c r="BJ149" s="61"/>
      <c r="BK149" s="61"/>
      <c r="BL149" s="61"/>
      <c r="BM149" s="61"/>
      <c r="BN149" s="61"/>
      <c r="BO149" s="61"/>
      <c r="BP149" s="61"/>
      <c r="BQ149" s="61"/>
      <c r="BR149" s="95"/>
      <c r="BS149" s="61"/>
      <c r="BT149" s="61"/>
    </row>
    <row r="150" ht="14.25" customHeight="1" spans="1:72" x14ac:dyDescent="0.25">
      <c r="A150" s="61">
        <f t="shared" si="0"/>
      </c>
      <c r="B150" s="61">
        <f t="array" ref="B150">IFERROR(INDEX('02_DS_Nhan_Viec'!$B:$B,MATCH(ROW()-1,'02_DS_Nhan_Viec'!$M:$M,0)),"")</f>
      </c>
      <c r="C150" s="61">
        <f t="array" ref="C150">IF($B150="","",IFERROR(INDEX('01_UngVien_PhongVan'!$D:$D,MATCH($B150,'01_UngVien_PhongVan'!$B:$B,0)),"Không tìm thấy mã ứng viên"))</f>
      </c>
      <c r="D150" s="61">
        <f t="array" ref="D150">IF($B150="","",IFERROR(INDEX('01_UngVien_PhongVan'!$R:$R,MATCH($B150,'01_UngVien_PhongVan'!$B:$B,0)),""))</f>
      </c>
      <c r="E150" s="61">
        <f t="array" ref="E150">IF($B150="","",IFERROR(INDEX('02_DS_Nhan_Viec'!$H:$H,MATCH($B150,'02_DS_Nhan_Viec'!$B:$B,0)),""))</f>
      </c>
      <c r="F150" s="68">
        <f t="array" ref="F150">IF($B150="","",IFERROR(INDEX('02_DS_Nhan_Viec'!$E:$E,MATCH($B150,'02_DS_Nhan_Viec'!$B:$B,0)),""))</f>
      </c>
      <c r="G150" s="68">
        <f t="shared" si="1"/>
      </c>
      <c r="H150" s="68">
        <f t="shared" si="2"/>
      </c>
      <c r="I150" s="68"/>
      <c r="J150" s="61"/>
      <c r="K150" s="61"/>
      <c r="L150" s="61"/>
      <c r="M150" s="61"/>
      <c r="N150" s="61"/>
      <c r="O150" s="61"/>
      <c r="P150" s="92"/>
      <c r="Q150" s="92"/>
      <c r="R150" s="93">
        <f t="shared" si="3"/>
      </c>
      <c r="S150" s="61"/>
      <c r="T150" s="61"/>
      <c r="U150" s="61"/>
      <c r="V150" s="61"/>
      <c r="W150" s="61">
        <f t="shared" si="4"/>
      </c>
      <c r="X150" s="94">
        <f t="shared" si="5"/>
      </c>
      <c r="Y150" s="94">
        <f t="shared" si="6"/>
      </c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95"/>
      <c r="AM150" s="61"/>
      <c r="AN150" s="61"/>
      <c r="AO150" s="68"/>
      <c r="AP150" s="61"/>
      <c r="AQ150" s="61"/>
      <c r="AR150" s="61"/>
      <c r="AS150" s="61"/>
      <c r="AT150" s="61"/>
      <c r="AU150" s="61"/>
      <c r="AV150" s="92"/>
      <c r="AW150" s="92"/>
      <c r="AX150" s="93">
        <f t="shared" si="7"/>
      </c>
      <c r="AY150" s="61"/>
      <c r="AZ150" s="61"/>
      <c r="BA150" s="61"/>
      <c r="BB150" s="61"/>
      <c r="BC150" s="61">
        <f t="shared" si="11"/>
      </c>
      <c r="BD150" s="94">
        <f t="shared" si="12"/>
      </c>
      <c r="BE150" s="94">
        <f t="shared" si="13"/>
      </c>
      <c r="BF150" s="61"/>
      <c r="BG150" s="61"/>
      <c r="BH150" s="61"/>
      <c r="BI150" s="61"/>
      <c r="BJ150" s="61"/>
      <c r="BK150" s="61"/>
      <c r="BL150" s="61"/>
      <c r="BM150" s="61"/>
      <c r="BN150" s="61"/>
      <c r="BO150" s="61"/>
      <c r="BP150" s="61"/>
      <c r="BQ150" s="61"/>
      <c r="BR150" s="95"/>
      <c r="BS150" s="61"/>
      <c r="BT150" s="61"/>
    </row>
    <row r="151" ht="14.25" customHeight="1" spans="1:72" x14ac:dyDescent="0.25">
      <c r="A151" s="61">
        <f t="shared" si="0"/>
      </c>
      <c r="B151" s="61">
        <f t="array" ref="B151">IFERROR(INDEX('02_DS_Nhan_Viec'!$B:$B,MATCH(ROW()-1,'02_DS_Nhan_Viec'!$M:$M,0)),"")</f>
      </c>
      <c r="C151" s="61">
        <f t="array" ref="C151">IF($B151="","",IFERROR(INDEX('01_UngVien_PhongVan'!$D:$D,MATCH($B151,'01_UngVien_PhongVan'!$B:$B,0)),"Không tìm thấy mã ứng viên"))</f>
      </c>
      <c r="D151" s="61">
        <f t="array" ref="D151">IF($B151="","",IFERROR(INDEX('01_UngVien_PhongVan'!$R:$R,MATCH($B151,'01_UngVien_PhongVan'!$B:$B,0)),""))</f>
      </c>
      <c r="E151" s="61">
        <f t="array" ref="E151">IF($B151="","",IFERROR(INDEX('02_DS_Nhan_Viec'!$H:$H,MATCH($B151,'02_DS_Nhan_Viec'!$B:$B,0)),""))</f>
      </c>
      <c r="F151" s="68">
        <f t="array" ref="F151">IF($B151="","",IFERROR(INDEX('02_DS_Nhan_Viec'!$E:$E,MATCH($B151,'02_DS_Nhan_Viec'!$B:$B,0)),""))</f>
      </c>
      <c r="G151" s="68">
        <f t="shared" si="1"/>
      </c>
      <c r="H151" s="68">
        <f t="shared" si="2"/>
      </c>
      <c r="I151" s="68"/>
      <c r="J151" s="61"/>
      <c r="K151" s="61"/>
      <c r="L151" s="61"/>
      <c r="M151" s="61"/>
      <c r="N151" s="61"/>
      <c r="O151" s="61"/>
      <c r="P151" s="92"/>
      <c r="Q151" s="92"/>
      <c r="R151" s="93">
        <f t="shared" si="3"/>
      </c>
      <c r="S151" s="61"/>
      <c r="T151" s="61"/>
      <c r="U151" s="61"/>
      <c r="V151" s="61"/>
      <c r="W151" s="61">
        <f t="shared" si="4"/>
      </c>
      <c r="X151" s="94">
        <f t="shared" si="5"/>
      </c>
      <c r="Y151" s="94">
        <f t="shared" si="6"/>
      </c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95"/>
      <c r="AM151" s="61"/>
      <c r="AN151" s="61"/>
      <c r="AO151" s="68"/>
      <c r="AP151" s="61"/>
      <c r="AQ151" s="61"/>
      <c r="AR151" s="61"/>
      <c r="AS151" s="61"/>
      <c r="AT151" s="61"/>
      <c r="AU151" s="61"/>
      <c r="AV151" s="92"/>
      <c r="AW151" s="92"/>
      <c r="AX151" s="93">
        <f t="shared" si="7"/>
      </c>
      <c r="AY151" s="61"/>
      <c r="AZ151" s="61"/>
      <c r="BA151" s="61"/>
      <c r="BB151" s="61"/>
      <c r="BC151" s="61">
        <f t="shared" si="11"/>
      </c>
      <c r="BD151" s="94">
        <f t="shared" si="12"/>
      </c>
      <c r="BE151" s="94">
        <f t="shared" si="13"/>
      </c>
      <c r="BF151" s="61"/>
      <c r="BG151" s="61"/>
      <c r="BH151" s="61"/>
      <c r="BI151" s="61"/>
      <c r="BJ151" s="61"/>
      <c r="BK151" s="61"/>
      <c r="BL151" s="61"/>
      <c r="BM151" s="61"/>
      <c r="BN151" s="61"/>
      <c r="BO151" s="61"/>
      <c r="BP151" s="61"/>
      <c r="BQ151" s="61"/>
      <c r="BR151" s="95"/>
      <c r="BS151" s="61"/>
      <c r="BT151" s="61"/>
    </row>
    <row r="152" ht="14.25" customHeight="1" spans="1:72" x14ac:dyDescent="0.25">
      <c r="A152" s="61">
        <f t="shared" si="0"/>
      </c>
      <c r="B152" s="61">
        <f t="array" ref="B152">IFERROR(INDEX('02_DS_Nhan_Viec'!$B:$B,MATCH(ROW()-1,'02_DS_Nhan_Viec'!$M:$M,0)),"")</f>
      </c>
      <c r="C152" s="61">
        <f t="array" ref="C152">IF($B152="","",IFERROR(INDEX('01_UngVien_PhongVan'!$D:$D,MATCH($B152,'01_UngVien_PhongVan'!$B:$B,0)),"Không tìm thấy mã ứng viên"))</f>
      </c>
      <c r="D152" s="61">
        <f t="array" ref="D152">IF($B152="","",IFERROR(INDEX('01_UngVien_PhongVan'!$R:$R,MATCH($B152,'01_UngVien_PhongVan'!$B:$B,0)),""))</f>
      </c>
      <c r="E152" s="61">
        <f t="array" ref="E152">IF($B152="","",IFERROR(INDEX('02_DS_Nhan_Viec'!$H:$H,MATCH($B152,'02_DS_Nhan_Viec'!$B:$B,0)),""))</f>
      </c>
      <c r="F152" s="68">
        <f t="array" ref="F152">IF($B152="","",IFERROR(INDEX('02_DS_Nhan_Viec'!$E:$E,MATCH($B152,'02_DS_Nhan_Viec'!$B:$B,0)),""))</f>
      </c>
      <c r="G152" s="68">
        <f t="shared" si="1"/>
      </c>
      <c r="H152" s="68">
        <f t="shared" si="2"/>
      </c>
      <c r="I152" s="68"/>
      <c r="J152" s="61"/>
      <c r="K152" s="61"/>
      <c r="L152" s="61"/>
      <c r="M152" s="61"/>
      <c r="N152" s="61"/>
      <c r="O152" s="61"/>
      <c r="P152" s="92"/>
      <c r="Q152" s="92"/>
      <c r="R152" s="93">
        <f t="shared" si="3"/>
      </c>
      <c r="S152" s="61"/>
      <c r="T152" s="61"/>
      <c r="U152" s="61"/>
      <c r="V152" s="61"/>
      <c r="W152" s="61">
        <f t="shared" si="4"/>
      </c>
      <c r="X152" s="94">
        <f t="shared" si="5"/>
      </c>
      <c r="Y152" s="94">
        <f t="shared" si="6"/>
      </c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95"/>
      <c r="AM152" s="61"/>
      <c r="AN152" s="61"/>
      <c r="AO152" s="68"/>
      <c r="AP152" s="61"/>
      <c r="AQ152" s="61"/>
      <c r="AR152" s="61"/>
      <c r="AS152" s="61"/>
      <c r="AT152" s="61"/>
      <c r="AU152" s="61"/>
      <c r="AV152" s="92"/>
      <c r="AW152" s="92"/>
      <c r="AX152" s="93">
        <f t="shared" si="7"/>
      </c>
      <c r="AY152" s="61"/>
      <c r="AZ152" s="61"/>
      <c r="BA152" s="61"/>
      <c r="BB152" s="61"/>
      <c r="BC152" s="61">
        <f t="shared" si="11"/>
      </c>
      <c r="BD152" s="94">
        <f t="shared" si="12"/>
      </c>
      <c r="BE152" s="94">
        <f t="shared" si="13"/>
      </c>
      <c r="BF152" s="61"/>
      <c r="BG152" s="61"/>
      <c r="BH152" s="61"/>
      <c r="BI152" s="61"/>
      <c r="BJ152" s="61"/>
      <c r="BK152" s="61"/>
      <c r="BL152" s="61"/>
      <c r="BM152" s="61"/>
      <c r="BN152" s="61"/>
      <c r="BO152" s="61"/>
      <c r="BP152" s="61"/>
      <c r="BQ152" s="61"/>
      <c r="BR152" s="95"/>
      <c r="BS152" s="61"/>
      <c r="BT152" s="61"/>
    </row>
    <row r="153" ht="14.25" customHeight="1" spans="1:72" x14ac:dyDescent="0.25">
      <c r="A153" s="61">
        <f t="shared" si="0"/>
      </c>
      <c r="B153" s="61">
        <f t="array" ref="B153">IFERROR(INDEX('02_DS_Nhan_Viec'!$B:$B,MATCH(ROW()-1,'02_DS_Nhan_Viec'!$M:$M,0)),"")</f>
      </c>
      <c r="C153" s="61">
        <f t="array" ref="C153">IF($B153="","",IFERROR(INDEX('01_UngVien_PhongVan'!$D:$D,MATCH($B153,'01_UngVien_PhongVan'!$B:$B,0)),"Không tìm thấy mã ứng viên"))</f>
      </c>
      <c r="D153" s="61">
        <f t="array" ref="D153">IF($B153="","",IFERROR(INDEX('01_UngVien_PhongVan'!$R:$R,MATCH($B153,'01_UngVien_PhongVan'!$B:$B,0)),""))</f>
      </c>
      <c r="E153" s="61">
        <f t="array" ref="E153">IF($B153="","",IFERROR(INDEX('02_DS_Nhan_Viec'!$H:$H,MATCH($B153,'02_DS_Nhan_Viec'!$B:$B,0)),""))</f>
      </c>
      <c r="F153" s="68">
        <f t="array" ref="F153">IF($B153="","",IFERROR(INDEX('02_DS_Nhan_Viec'!$E:$E,MATCH($B153,'02_DS_Nhan_Viec'!$B:$B,0)),""))</f>
      </c>
      <c r="G153" s="68">
        <f t="shared" si="1"/>
      </c>
      <c r="H153" s="68">
        <f t="shared" si="2"/>
      </c>
      <c r="I153" s="68"/>
      <c r="J153" s="61"/>
      <c r="K153" s="61"/>
      <c r="L153" s="61"/>
      <c r="M153" s="61"/>
      <c r="N153" s="61"/>
      <c r="O153" s="61"/>
      <c r="P153" s="92"/>
      <c r="Q153" s="92"/>
      <c r="R153" s="93">
        <f t="shared" si="3"/>
      </c>
      <c r="S153" s="61"/>
      <c r="T153" s="61"/>
      <c r="U153" s="61"/>
      <c r="V153" s="61"/>
      <c r="W153" s="61">
        <f t="shared" si="4"/>
      </c>
      <c r="X153" s="94">
        <f t="shared" si="5"/>
      </c>
      <c r="Y153" s="94">
        <f t="shared" si="6"/>
      </c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95"/>
      <c r="AM153" s="61"/>
      <c r="AN153" s="61"/>
      <c r="AO153" s="68"/>
      <c r="AP153" s="61"/>
      <c r="AQ153" s="61"/>
      <c r="AR153" s="61"/>
      <c r="AS153" s="61"/>
      <c r="AT153" s="61"/>
      <c r="AU153" s="61"/>
      <c r="AV153" s="92"/>
      <c r="AW153" s="92"/>
      <c r="AX153" s="93">
        <f t="shared" si="7"/>
      </c>
      <c r="AY153" s="61"/>
      <c r="AZ153" s="61"/>
      <c r="BA153" s="61"/>
      <c r="BB153" s="61"/>
      <c r="BC153" s="61">
        <f t="shared" si="11"/>
      </c>
      <c r="BD153" s="94">
        <f t="shared" si="12"/>
      </c>
      <c r="BE153" s="94">
        <f t="shared" si="13"/>
      </c>
      <c r="BF153" s="61"/>
      <c r="BG153" s="61"/>
      <c r="BH153" s="61"/>
      <c r="BI153" s="61"/>
      <c r="BJ153" s="61"/>
      <c r="BK153" s="61"/>
      <c r="BL153" s="61"/>
      <c r="BM153" s="61"/>
      <c r="BN153" s="61"/>
      <c r="BO153" s="61"/>
      <c r="BP153" s="61"/>
      <c r="BQ153" s="61"/>
      <c r="BR153" s="95"/>
      <c r="BS153" s="61"/>
      <c r="BT153" s="61"/>
    </row>
    <row r="154" ht="14.25" customHeight="1" spans="1:72" x14ac:dyDescent="0.25">
      <c r="A154" s="61">
        <f t="shared" si="0"/>
      </c>
      <c r="B154" s="61">
        <f t="array" ref="B154">IFERROR(INDEX('02_DS_Nhan_Viec'!$B:$B,MATCH(ROW()-1,'02_DS_Nhan_Viec'!$M:$M,0)),"")</f>
      </c>
      <c r="C154" s="61">
        <f t="array" ref="C154">IF($B154="","",IFERROR(INDEX('01_UngVien_PhongVan'!$D:$D,MATCH($B154,'01_UngVien_PhongVan'!$B:$B,0)),"Không tìm thấy mã ứng viên"))</f>
      </c>
      <c r="D154" s="61">
        <f t="array" ref="D154">IF($B154="","",IFERROR(INDEX('01_UngVien_PhongVan'!$R:$R,MATCH($B154,'01_UngVien_PhongVan'!$B:$B,0)),""))</f>
      </c>
      <c r="E154" s="61">
        <f t="array" ref="E154">IF($B154="","",IFERROR(INDEX('02_DS_Nhan_Viec'!$H:$H,MATCH($B154,'02_DS_Nhan_Viec'!$B:$B,0)),""))</f>
      </c>
      <c r="F154" s="68">
        <f t="array" ref="F154">IF($B154="","",IFERROR(INDEX('02_DS_Nhan_Viec'!$E:$E,MATCH($B154,'02_DS_Nhan_Viec'!$B:$B,0)),""))</f>
      </c>
      <c r="G154" s="68">
        <f t="shared" si="1"/>
      </c>
      <c r="H154" s="68">
        <f t="shared" si="2"/>
      </c>
      <c r="I154" s="68"/>
      <c r="J154" s="61"/>
      <c r="K154" s="61"/>
      <c r="L154" s="61"/>
      <c r="M154" s="61"/>
      <c r="N154" s="61"/>
      <c r="O154" s="61"/>
      <c r="P154" s="92"/>
      <c r="Q154" s="92"/>
      <c r="R154" s="93">
        <f t="shared" si="3"/>
      </c>
      <c r="S154" s="61"/>
      <c r="T154" s="61"/>
      <c r="U154" s="61"/>
      <c r="V154" s="61"/>
      <c r="W154" s="61">
        <f t="shared" si="4"/>
      </c>
      <c r="X154" s="94">
        <f t="shared" si="5"/>
      </c>
      <c r="Y154" s="94">
        <f t="shared" si="6"/>
      </c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95"/>
      <c r="AM154" s="61"/>
      <c r="AN154" s="61"/>
      <c r="AO154" s="68"/>
      <c r="AP154" s="61"/>
      <c r="AQ154" s="61"/>
      <c r="AR154" s="61"/>
      <c r="AS154" s="61"/>
      <c r="AT154" s="61"/>
      <c r="AU154" s="61"/>
      <c r="AV154" s="92"/>
      <c r="AW154" s="92"/>
      <c r="AX154" s="93">
        <f t="shared" si="7"/>
      </c>
      <c r="AY154" s="61"/>
      <c r="AZ154" s="61"/>
      <c r="BA154" s="61"/>
      <c r="BB154" s="61"/>
      <c r="BC154" s="61">
        <f t="shared" si="11"/>
      </c>
      <c r="BD154" s="94">
        <f t="shared" si="12"/>
      </c>
      <c r="BE154" s="94">
        <f t="shared" si="13"/>
      </c>
      <c r="BF154" s="61"/>
      <c r="BG154" s="61"/>
      <c r="BH154" s="61"/>
      <c r="BI154" s="61"/>
      <c r="BJ154" s="61"/>
      <c r="BK154" s="61"/>
      <c r="BL154" s="61"/>
      <c r="BM154" s="61"/>
      <c r="BN154" s="61"/>
      <c r="BO154" s="61"/>
      <c r="BP154" s="61"/>
      <c r="BQ154" s="61"/>
      <c r="BR154" s="95"/>
      <c r="BS154" s="61"/>
      <c r="BT154" s="61"/>
    </row>
    <row r="155" ht="14.25" customHeight="1" spans="1:72" x14ac:dyDescent="0.25">
      <c r="A155" s="61">
        <f t="shared" si="0"/>
      </c>
      <c r="B155" s="61">
        <f t="array" ref="B155">IFERROR(INDEX('02_DS_Nhan_Viec'!$B:$B,MATCH(ROW()-1,'02_DS_Nhan_Viec'!$M:$M,0)),"")</f>
      </c>
      <c r="C155" s="61">
        <f t="array" ref="C155">IF($B155="","",IFERROR(INDEX('01_UngVien_PhongVan'!$D:$D,MATCH($B155,'01_UngVien_PhongVan'!$B:$B,0)),"Không tìm thấy mã ứng viên"))</f>
      </c>
      <c r="D155" s="61">
        <f t="array" ref="D155">IF($B155="","",IFERROR(INDEX('01_UngVien_PhongVan'!$R:$R,MATCH($B155,'01_UngVien_PhongVan'!$B:$B,0)),""))</f>
      </c>
      <c r="E155" s="61">
        <f t="array" ref="E155">IF($B155="","",IFERROR(INDEX('02_DS_Nhan_Viec'!$H:$H,MATCH($B155,'02_DS_Nhan_Viec'!$B:$B,0)),""))</f>
      </c>
      <c r="F155" s="68">
        <f t="array" ref="F155">IF($B155="","",IFERROR(INDEX('02_DS_Nhan_Viec'!$E:$E,MATCH($B155,'02_DS_Nhan_Viec'!$B:$B,0)),""))</f>
      </c>
      <c r="G155" s="68">
        <f t="shared" si="1"/>
      </c>
      <c r="H155" s="68">
        <f t="shared" si="2"/>
      </c>
      <c r="I155" s="68"/>
      <c r="J155" s="61"/>
      <c r="K155" s="61"/>
      <c r="L155" s="61"/>
      <c r="M155" s="61"/>
      <c r="N155" s="61"/>
      <c r="O155" s="61"/>
      <c r="P155" s="92"/>
      <c r="Q155" s="92"/>
      <c r="R155" s="93">
        <f t="shared" si="3"/>
      </c>
      <c r="S155" s="61"/>
      <c r="T155" s="61"/>
      <c r="U155" s="61"/>
      <c r="V155" s="61"/>
      <c r="W155" s="61">
        <f t="shared" si="4"/>
      </c>
      <c r="X155" s="94">
        <f t="shared" si="5"/>
      </c>
      <c r="Y155" s="94">
        <f t="shared" si="6"/>
      </c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95"/>
      <c r="AM155" s="61"/>
      <c r="AN155" s="61"/>
      <c r="AO155" s="68"/>
      <c r="AP155" s="61"/>
      <c r="AQ155" s="61"/>
      <c r="AR155" s="61"/>
      <c r="AS155" s="61"/>
      <c r="AT155" s="61"/>
      <c r="AU155" s="61"/>
      <c r="AV155" s="92"/>
      <c r="AW155" s="92"/>
      <c r="AX155" s="93">
        <f t="shared" si="7"/>
      </c>
      <c r="AY155" s="61"/>
      <c r="AZ155" s="61"/>
      <c r="BA155" s="61"/>
      <c r="BB155" s="61"/>
      <c r="BC155" s="61">
        <f t="shared" si="11"/>
      </c>
      <c r="BD155" s="94">
        <f t="shared" si="12"/>
      </c>
      <c r="BE155" s="94">
        <f t="shared" si="13"/>
      </c>
      <c r="BF155" s="61"/>
      <c r="BG155" s="61"/>
      <c r="BH155" s="61"/>
      <c r="BI155" s="61"/>
      <c r="BJ155" s="61"/>
      <c r="BK155" s="61"/>
      <c r="BL155" s="61"/>
      <c r="BM155" s="61"/>
      <c r="BN155" s="61"/>
      <c r="BO155" s="61"/>
      <c r="BP155" s="61"/>
      <c r="BQ155" s="61"/>
      <c r="BR155" s="95"/>
      <c r="BS155" s="61"/>
      <c r="BT155" s="61"/>
    </row>
    <row r="156" ht="14.25" customHeight="1" spans="1:72" x14ac:dyDescent="0.25">
      <c r="A156" s="61">
        <f t="shared" si="0"/>
      </c>
      <c r="B156" s="61">
        <f t="array" ref="B156">IFERROR(INDEX('02_DS_Nhan_Viec'!$B:$B,MATCH(ROW()-1,'02_DS_Nhan_Viec'!$M:$M,0)),"")</f>
      </c>
      <c r="C156" s="61">
        <f t="array" ref="C156">IF($B156="","",IFERROR(INDEX('01_UngVien_PhongVan'!$D:$D,MATCH($B156,'01_UngVien_PhongVan'!$B:$B,0)),"Không tìm thấy mã ứng viên"))</f>
      </c>
      <c r="D156" s="61">
        <f t="array" ref="D156">IF($B156="","",IFERROR(INDEX('01_UngVien_PhongVan'!$R:$R,MATCH($B156,'01_UngVien_PhongVan'!$B:$B,0)),""))</f>
      </c>
      <c r="E156" s="61">
        <f t="array" ref="E156">IF($B156="","",IFERROR(INDEX('02_DS_Nhan_Viec'!$H:$H,MATCH($B156,'02_DS_Nhan_Viec'!$B:$B,0)),""))</f>
      </c>
      <c r="F156" s="68">
        <f t="array" ref="F156">IF($B156="","",IFERROR(INDEX('02_DS_Nhan_Viec'!$E:$E,MATCH($B156,'02_DS_Nhan_Viec'!$B:$B,0)),""))</f>
      </c>
      <c r="G156" s="68">
        <f t="shared" si="1"/>
      </c>
      <c r="H156" s="68">
        <f t="shared" si="2"/>
      </c>
      <c r="I156" s="68"/>
      <c r="J156" s="61"/>
      <c r="K156" s="61"/>
      <c r="L156" s="61"/>
      <c r="M156" s="61"/>
      <c r="N156" s="61"/>
      <c r="O156" s="61"/>
      <c r="P156" s="92"/>
      <c r="Q156" s="92"/>
      <c r="R156" s="93">
        <f t="shared" si="3"/>
      </c>
      <c r="S156" s="61"/>
      <c r="T156" s="61"/>
      <c r="U156" s="61"/>
      <c r="V156" s="61"/>
      <c r="W156" s="61">
        <f t="shared" si="4"/>
      </c>
      <c r="X156" s="94">
        <f t="shared" si="5"/>
      </c>
      <c r="Y156" s="94">
        <f t="shared" si="6"/>
      </c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61"/>
      <c r="AL156" s="95"/>
      <c r="AM156" s="61"/>
      <c r="AN156" s="61"/>
      <c r="AO156" s="68"/>
      <c r="AP156" s="61"/>
      <c r="AQ156" s="61"/>
      <c r="AR156" s="61"/>
      <c r="AS156" s="61"/>
      <c r="AT156" s="61"/>
      <c r="AU156" s="61"/>
      <c r="AV156" s="92"/>
      <c r="AW156" s="92"/>
      <c r="AX156" s="93">
        <f t="shared" si="7"/>
      </c>
      <c r="AY156" s="61"/>
      <c r="AZ156" s="61"/>
      <c r="BA156" s="61"/>
      <c r="BB156" s="61"/>
      <c r="BC156" s="61">
        <f t="shared" si="11"/>
      </c>
      <c r="BD156" s="94">
        <f t="shared" si="12"/>
      </c>
      <c r="BE156" s="94">
        <f t="shared" si="13"/>
      </c>
      <c r="BF156" s="61"/>
      <c r="BG156" s="61"/>
      <c r="BH156" s="61"/>
      <c r="BI156" s="61"/>
      <c r="BJ156" s="61"/>
      <c r="BK156" s="61"/>
      <c r="BL156" s="61"/>
      <c r="BM156" s="61"/>
      <c r="BN156" s="61"/>
      <c r="BO156" s="61"/>
      <c r="BP156" s="61"/>
      <c r="BQ156" s="61"/>
      <c r="BR156" s="95"/>
      <c r="BS156" s="61"/>
      <c r="BT156" s="61"/>
    </row>
    <row r="157" ht="14.25" customHeight="1" spans="1:72" x14ac:dyDescent="0.25">
      <c r="A157" s="61">
        <f t="shared" si="0"/>
      </c>
      <c r="B157" s="61">
        <f t="array" ref="B157">IFERROR(INDEX('02_DS_Nhan_Viec'!$B:$B,MATCH(ROW()-1,'02_DS_Nhan_Viec'!$M:$M,0)),"")</f>
      </c>
      <c r="C157" s="61">
        <f t="array" ref="C157">IF($B157="","",IFERROR(INDEX('01_UngVien_PhongVan'!$D:$D,MATCH($B157,'01_UngVien_PhongVan'!$B:$B,0)),"Không tìm thấy mã ứng viên"))</f>
      </c>
      <c r="D157" s="61">
        <f t="array" ref="D157">IF($B157="","",IFERROR(INDEX('01_UngVien_PhongVan'!$R:$R,MATCH($B157,'01_UngVien_PhongVan'!$B:$B,0)),""))</f>
      </c>
      <c r="E157" s="61">
        <f t="array" ref="E157">IF($B157="","",IFERROR(INDEX('02_DS_Nhan_Viec'!$H:$H,MATCH($B157,'02_DS_Nhan_Viec'!$B:$B,0)),""))</f>
      </c>
      <c r="F157" s="68">
        <f t="array" ref="F157">IF($B157="","",IFERROR(INDEX('02_DS_Nhan_Viec'!$E:$E,MATCH($B157,'02_DS_Nhan_Viec'!$B:$B,0)),""))</f>
      </c>
      <c r="G157" s="68">
        <f t="shared" si="1"/>
      </c>
      <c r="H157" s="68">
        <f t="shared" si="2"/>
      </c>
      <c r="I157" s="68"/>
      <c r="J157" s="61"/>
      <c r="K157" s="61"/>
      <c r="L157" s="61"/>
      <c r="M157" s="61"/>
      <c r="N157" s="61"/>
      <c r="O157" s="61"/>
      <c r="P157" s="92"/>
      <c r="Q157" s="92"/>
      <c r="R157" s="93">
        <f t="shared" si="3"/>
      </c>
      <c r="S157" s="61"/>
      <c r="T157" s="61"/>
      <c r="U157" s="61"/>
      <c r="V157" s="61"/>
      <c r="W157" s="61">
        <f t="shared" si="4"/>
      </c>
      <c r="X157" s="94">
        <f t="shared" si="5"/>
      </c>
      <c r="Y157" s="94">
        <f t="shared" si="6"/>
      </c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61"/>
      <c r="AL157" s="95"/>
      <c r="AM157" s="61"/>
      <c r="AN157" s="61"/>
      <c r="AO157" s="68"/>
      <c r="AP157" s="61"/>
      <c r="AQ157" s="61"/>
      <c r="AR157" s="61"/>
      <c r="AS157" s="61"/>
      <c r="AT157" s="61"/>
      <c r="AU157" s="61"/>
      <c r="AV157" s="92"/>
      <c r="AW157" s="92"/>
      <c r="AX157" s="93">
        <f t="shared" si="7"/>
      </c>
      <c r="AY157" s="61"/>
      <c r="AZ157" s="61"/>
      <c r="BA157" s="61"/>
      <c r="BB157" s="61"/>
      <c r="BC157" s="61">
        <f t="shared" si="11"/>
      </c>
      <c r="BD157" s="94">
        <f t="shared" si="12"/>
      </c>
      <c r="BE157" s="94">
        <f t="shared" si="13"/>
      </c>
      <c r="BF157" s="61"/>
      <c r="BG157" s="61"/>
      <c r="BH157" s="61"/>
      <c r="BI157" s="61"/>
      <c r="BJ157" s="61"/>
      <c r="BK157" s="61"/>
      <c r="BL157" s="61"/>
      <c r="BM157" s="61"/>
      <c r="BN157" s="61"/>
      <c r="BO157" s="61"/>
      <c r="BP157" s="61"/>
      <c r="BQ157" s="61"/>
      <c r="BR157" s="95"/>
      <c r="BS157" s="61"/>
      <c r="BT157" s="61"/>
    </row>
    <row r="158" ht="14.25" customHeight="1" spans="1:72" x14ac:dyDescent="0.25">
      <c r="A158" s="61">
        <f t="shared" si="0"/>
      </c>
      <c r="B158" s="61">
        <f t="array" ref="B158">IFERROR(INDEX('02_DS_Nhan_Viec'!$B:$B,MATCH(ROW()-1,'02_DS_Nhan_Viec'!$M:$M,0)),"")</f>
      </c>
      <c r="C158" s="61">
        <f t="array" ref="C158">IF($B158="","",IFERROR(INDEX('01_UngVien_PhongVan'!$D:$D,MATCH($B158,'01_UngVien_PhongVan'!$B:$B,0)),"Không tìm thấy mã ứng viên"))</f>
      </c>
      <c r="D158" s="61">
        <f t="array" ref="D158">IF($B158="","",IFERROR(INDEX('01_UngVien_PhongVan'!$R:$R,MATCH($B158,'01_UngVien_PhongVan'!$B:$B,0)),""))</f>
      </c>
      <c r="E158" s="61">
        <f t="array" ref="E158">IF($B158="","",IFERROR(INDEX('02_DS_Nhan_Viec'!$H:$H,MATCH($B158,'02_DS_Nhan_Viec'!$B:$B,0)),""))</f>
      </c>
      <c r="F158" s="68">
        <f t="array" ref="F158">IF($B158="","",IFERROR(INDEX('02_DS_Nhan_Viec'!$E:$E,MATCH($B158,'02_DS_Nhan_Viec'!$B:$B,0)),""))</f>
      </c>
      <c r="G158" s="68">
        <f t="shared" si="1"/>
      </c>
      <c r="H158" s="68">
        <f t="shared" si="2"/>
      </c>
      <c r="I158" s="68"/>
      <c r="J158" s="61"/>
      <c r="K158" s="61"/>
      <c r="L158" s="61"/>
      <c r="M158" s="61"/>
      <c r="N158" s="61"/>
      <c r="O158" s="61"/>
      <c r="P158" s="92"/>
      <c r="Q158" s="92"/>
      <c r="R158" s="93">
        <f t="shared" si="3"/>
      </c>
      <c r="S158" s="61"/>
      <c r="T158" s="61"/>
      <c r="U158" s="61"/>
      <c r="V158" s="61"/>
      <c r="W158" s="61">
        <f t="shared" si="4"/>
      </c>
      <c r="X158" s="94">
        <f t="shared" si="5"/>
      </c>
      <c r="Y158" s="94">
        <f t="shared" si="6"/>
      </c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95"/>
      <c r="AM158" s="61"/>
      <c r="AN158" s="61"/>
      <c r="AO158" s="68"/>
      <c r="AP158" s="61"/>
      <c r="AQ158" s="61"/>
      <c r="AR158" s="61"/>
      <c r="AS158" s="61"/>
      <c r="AT158" s="61"/>
      <c r="AU158" s="61"/>
      <c r="AV158" s="92"/>
      <c r="AW158" s="92"/>
      <c r="AX158" s="93">
        <f t="shared" si="7"/>
      </c>
      <c r="AY158" s="61"/>
      <c r="AZ158" s="61"/>
      <c r="BA158" s="61"/>
      <c r="BB158" s="61"/>
      <c r="BC158" s="61">
        <f t="shared" si="11"/>
      </c>
      <c r="BD158" s="94">
        <f t="shared" si="12"/>
      </c>
      <c r="BE158" s="94">
        <f t="shared" si="13"/>
      </c>
      <c r="BF158" s="61"/>
      <c r="BG158" s="61"/>
      <c r="BH158" s="61"/>
      <c r="BI158" s="61"/>
      <c r="BJ158" s="61"/>
      <c r="BK158" s="61"/>
      <c r="BL158" s="61"/>
      <c r="BM158" s="61"/>
      <c r="BN158" s="61"/>
      <c r="BO158" s="61"/>
      <c r="BP158" s="61"/>
      <c r="BQ158" s="61"/>
      <c r="BR158" s="95"/>
      <c r="BS158" s="61"/>
      <c r="BT158" s="61"/>
    </row>
    <row r="159" ht="14.25" customHeight="1" spans="1:72" x14ac:dyDescent="0.25">
      <c r="A159" s="61">
        <f t="shared" si="0"/>
      </c>
      <c r="B159" s="61">
        <f t="array" ref="B159">IFERROR(INDEX('02_DS_Nhan_Viec'!$B:$B,MATCH(ROW()-1,'02_DS_Nhan_Viec'!$M:$M,0)),"")</f>
      </c>
      <c r="C159" s="61">
        <f t="array" ref="C159">IF($B159="","",IFERROR(INDEX('01_UngVien_PhongVan'!$D:$D,MATCH($B159,'01_UngVien_PhongVan'!$B:$B,0)),"Không tìm thấy mã ứng viên"))</f>
      </c>
      <c r="D159" s="61">
        <f t="array" ref="D159">IF($B159="","",IFERROR(INDEX('01_UngVien_PhongVan'!$R:$R,MATCH($B159,'01_UngVien_PhongVan'!$B:$B,0)),""))</f>
      </c>
      <c r="E159" s="61">
        <f t="array" ref="E159">IF($B159="","",IFERROR(INDEX('02_DS_Nhan_Viec'!$H:$H,MATCH($B159,'02_DS_Nhan_Viec'!$B:$B,0)),""))</f>
      </c>
      <c r="F159" s="68">
        <f t="array" ref="F159">IF($B159="","",IFERROR(INDEX('02_DS_Nhan_Viec'!$E:$E,MATCH($B159,'02_DS_Nhan_Viec'!$B:$B,0)),""))</f>
      </c>
      <c r="G159" s="68">
        <f t="shared" si="1"/>
      </c>
      <c r="H159" s="68">
        <f t="shared" si="2"/>
      </c>
      <c r="I159" s="68"/>
      <c r="J159" s="61"/>
      <c r="K159" s="61"/>
      <c r="L159" s="61"/>
      <c r="M159" s="61"/>
      <c r="N159" s="61"/>
      <c r="O159" s="61"/>
      <c r="P159" s="92"/>
      <c r="Q159" s="92"/>
      <c r="R159" s="93">
        <f t="shared" si="3"/>
      </c>
      <c r="S159" s="61"/>
      <c r="T159" s="61"/>
      <c r="U159" s="61"/>
      <c r="V159" s="61"/>
      <c r="W159" s="61">
        <f t="shared" si="4"/>
      </c>
      <c r="X159" s="94">
        <f t="shared" si="5"/>
      </c>
      <c r="Y159" s="94">
        <f t="shared" si="6"/>
      </c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95"/>
      <c r="AM159" s="61"/>
      <c r="AN159" s="61"/>
      <c r="AO159" s="68"/>
      <c r="AP159" s="61"/>
      <c r="AQ159" s="61"/>
      <c r="AR159" s="61"/>
      <c r="AS159" s="61"/>
      <c r="AT159" s="61"/>
      <c r="AU159" s="61"/>
      <c r="AV159" s="92"/>
      <c r="AW159" s="92"/>
      <c r="AX159" s="93">
        <f t="shared" si="7"/>
      </c>
      <c r="AY159" s="61"/>
      <c r="AZ159" s="61"/>
      <c r="BA159" s="61"/>
      <c r="BB159" s="61"/>
      <c r="BC159" s="61">
        <f t="shared" si="11"/>
      </c>
      <c r="BD159" s="94">
        <f t="shared" si="12"/>
      </c>
      <c r="BE159" s="94">
        <f t="shared" si="13"/>
      </c>
      <c r="BF159" s="61"/>
      <c r="BG159" s="61"/>
      <c r="BH159" s="61"/>
      <c r="BI159" s="61"/>
      <c r="BJ159" s="61"/>
      <c r="BK159" s="61"/>
      <c r="BL159" s="61"/>
      <c r="BM159" s="61"/>
      <c r="BN159" s="61"/>
      <c r="BO159" s="61"/>
      <c r="BP159" s="61"/>
      <c r="BQ159" s="61"/>
      <c r="BR159" s="95"/>
      <c r="BS159" s="61"/>
      <c r="BT159" s="61"/>
    </row>
    <row r="160" ht="14.25" customHeight="1" spans="1:72" x14ac:dyDescent="0.25">
      <c r="A160" s="61">
        <f t="shared" si="0"/>
      </c>
      <c r="B160" s="61">
        <f t="array" ref="B160">IFERROR(INDEX('02_DS_Nhan_Viec'!$B:$B,MATCH(ROW()-1,'02_DS_Nhan_Viec'!$M:$M,0)),"")</f>
      </c>
      <c r="C160" s="61">
        <f t="array" ref="C160">IF($B160="","",IFERROR(INDEX('01_UngVien_PhongVan'!$D:$D,MATCH($B160,'01_UngVien_PhongVan'!$B:$B,0)),"Không tìm thấy mã ứng viên"))</f>
      </c>
      <c r="D160" s="61">
        <f t="array" ref="D160">IF($B160="","",IFERROR(INDEX('01_UngVien_PhongVan'!$R:$R,MATCH($B160,'01_UngVien_PhongVan'!$B:$B,0)),""))</f>
      </c>
      <c r="E160" s="61">
        <f t="array" ref="E160">IF($B160="","",IFERROR(INDEX('02_DS_Nhan_Viec'!$H:$H,MATCH($B160,'02_DS_Nhan_Viec'!$B:$B,0)),""))</f>
      </c>
      <c r="F160" s="68">
        <f t="array" ref="F160">IF($B160="","",IFERROR(INDEX('02_DS_Nhan_Viec'!$E:$E,MATCH($B160,'02_DS_Nhan_Viec'!$B:$B,0)),""))</f>
      </c>
      <c r="G160" s="68">
        <f t="shared" si="1"/>
      </c>
      <c r="H160" s="68">
        <f t="shared" si="2"/>
      </c>
      <c r="I160" s="68"/>
      <c r="J160" s="61"/>
      <c r="K160" s="61"/>
      <c r="L160" s="61"/>
      <c r="M160" s="61"/>
      <c r="N160" s="61"/>
      <c r="O160" s="61"/>
      <c r="P160" s="92"/>
      <c r="Q160" s="92"/>
      <c r="R160" s="93">
        <f t="shared" si="3"/>
      </c>
      <c r="S160" s="61"/>
      <c r="T160" s="61"/>
      <c r="U160" s="61"/>
      <c r="V160" s="61"/>
      <c r="W160" s="61">
        <f t="shared" si="4"/>
      </c>
      <c r="X160" s="94">
        <f t="shared" si="5"/>
      </c>
      <c r="Y160" s="94">
        <f t="shared" si="6"/>
      </c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95"/>
      <c r="AM160" s="61"/>
      <c r="AN160" s="61"/>
      <c r="AO160" s="68"/>
      <c r="AP160" s="61"/>
      <c r="AQ160" s="61"/>
      <c r="AR160" s="61"/>
      <c r="AS160" s="61"/>
      <c r="AT160" s="61"/>
      <c r="AU160" s="61"/>
      <c r="AV160" s="92"/>
      <c r="AW160" s="92"/>
      <c r="AX160" s="93">
        <f t="shared" si="7"/>
      </c>
      <c r="AY160" s="61"/>
      <c r="AZ160" s="61"/>
      <c r="BA160" s="61"/>
      <c r="BB160" s="61"/>
      <c r="BC160" s="61">
        <f t="shared" si="11"/>
      </c>
      <c r="BD160" s="94">
        <f t="shared" si="12"/>
      </c>
      <c r="BE160" s="94">
        <f t="shared" si="13"/>
      </c>
      <c r="BF160" s="61"/>
      <c r="BG160" s="61"/>
      <c r="BH160" s="61"/>
      <c r="BI160" s="61"/>
      <c r="BJ160" s="61"/>
      <c r="BK160" s="61"/>
      <c r="BL160" s="61"/>
      <c r="BM160" s="61"/>
      <c r="BN160" s="61"/>
      <c r="BO160" s="61"/>
      <c r="BP160" s="61"/>
      <c r="BQ160" s="61"/>
      <c r="BR160" s="95"/>
      <c r="BS160" s="61"/>
      <c r="BT160" s="61"/>
    </row>
    <row r="161" ht="14.25" customHeight="1" spans="1:72" x14ac:dyDescent="0.25">
      <c r="A161" s="61">
        <f t="shared" si="0"/>
      </c>
      <c r="B161" s="61">
        <f t="array" ref="B161">IFERROR(INDEX('02_DS_Nhan_Viec'!$B:$B,MATCH(ROW()-1,'02_DS_Nhan_Viec'!$M:$M,0)),"")</f>
      </c>
      <c r="C161" s="61">
        <f t="array" ref="C161">IF($B161="","",IFERROR(INDEX('01_UngVien_PhongVan'!$D:$D,MATCH($B161,'01_UngVien_PhongVan'!$B:$B,0)),"Không tìm thấy mã ứng viên"))</f>
      </c>
      <c r="D161" s="61">
        <f t="array" ref="D161">IF($B161="","",IFERROR(INDEX('01_UngVien_PhongVan'!$R:$R,MATCH($B161,'01_UngVien_PhongVan'!$B:$B,0)),""))</f>
      </c>
      <c r="E161" s="61">
        <f t="array" ref="E161">IF($B161="","",IFERROR(INDEX('02_DS_Nhan_Viec'!$H:$H,MATCH($B161,'02_DS_Nhan_Viec'!$B:$B,0)),""))</f>
      </c>
      <c r="F161" s="68">
        <f t="array" ref="F161">IF($B161="","",IFERROR(INDEX('02_DS_Nhan_Viec'!$E:$E,MATCH($B161,'02_DS_Nhan_Viec'!$B:$B,0)),""))</f>
      </c>
      <c r="G161" s="68">
        <f t="shared" si="1"/>
      </c>
      <c r="H161" s="68">
        <f t="shared" si="2"/>
      </c>
      <c r="I161" s="68"/>
      <c r="J161" s="61"/>
      <c r="K161" s="61"/>
      <c r="L161" s="61"/>
      <c r="M161" s="61"/>
      <c r="N161" s="61"/>
      <c r="O161" s="61"/>
      <c r="P161" s="92"/>
      <c r="Q161" s="92"/>
      <c r="R161" s="93">
        <f t="shared" si="3"/>
      </c>
      <c r="S161" s="61"/>
      <c r="T161" s="61"/>
      <c r="U161" s="61"/>
      <c r="V161" s="61"/>
      <c r="W161" s="61">
        <f t="shared" si="4"/>
      </c>
      <c r="X161" s="94">
        <f t="shared" si="5"/>
      </c>
      <c r="Y161" s="94">
        <f t="shared" si="6"/>
      </c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95"/>
      <c r="AM161" s="61"/>
      <c r="AN161" s="61"/>
      <c r="AO161" s="68"/>
      <c r="AP161" s="61"/>
      <c r="AQ161" s="61"/>
      <c r="AR161" s="61"/>
      <c r="AS161" s="61"/>
      <c r="AT161" s="61"/>
      <c r="AU161" s="61"/>
      <c r="AV161" s="92"/>
      <c r="AW161" s="92"/>
      <c r="AX161" s="93">
        <f t="shared" si="7"/>
      </c>
      <c r="AY161" s="61"/>
      <c r="AZ161" s="61"/>
      <c r="BA161" s="61"/>
      <c r="BB161" s="61"/>
      <c r="BC161" s="61">
        <f t="shared" si="11"/>
      </c>
      <c r="BD161" s="94">
        <f t="shared" si="12"/>
      </c>
      <c r="BE161" s="94">
        <f t="shared" si="13"/>
      </c>
      <c r="BF161" s="61"/>
      <c r="BG161" s="61"/>
      <c r="BH161" s="61"/>
      <c r="BI161" s="61"/>
      <c r="BJ161" s="61"/>
      <c r="BK161" s="61"/>
      <c r="BL161" s="61"/>
      <c r="BM161" s="61"/>
      <c r="BN161" s="61"/>
      <c r="BO161" s="61"/>
      <c r="BP161" s="61"/>
      <c r="BQ161" s="61"/>
      <c r="BR161" s="95"/>
      <c r="BS161" s="61"/>
      <c r="BT161" s="61"/>
    </row>
    <row r="162" ht="14.25" customHeight="1" spans="1:72" x14ac:dyDescent="0.25">
      <c r="A162" s="61">
        <f t="shared" si="0"/>
      </c>
      <c r="B162" s="61">
        <f t="array" ref="B162">IFERROR(INDEX('02_DS_Nhan_Viec'!$B:$B,MATCH(ROW()-1,'02_DS_Nhan_Viec'!$M:$M,0)),"")</f>
      </c>
      <c r="C162" s="61">
        <f t="array" ref="C162">IF($B162="","",IFERROR(INDEX('01_UngVien_PhongVan'!$D:$D,MATCH($B162,'01_UngVien_PhongVan'!$B:$B,0)),"Không tìm thấy mã ứng viên"))</f>
      </c>
      <c r="D162" s="61">
        <f t="array" ref="D162">IF($B162="","",IFERROR(INDEX('01_UngVien_PhongVan'!$R:$R,MATCH($B162,'01_UngVien_PhongVan'!$B:$B,0)),""))</f>
      </c>
      <c r="E162" s="61">
        <f t="array" ref="E162">IF($B162="","",IFERROR(INDEX('02_DS_Nhan_Viec'!$H:$H,MATCH($B162,'02_DS_Nhan_Viec'!$B:$B,0)),""))</f>
      </c>
      <c r="F162" s="68">
        <f t="array" ref="F162">IF($B162="","",IFERROR(INDEX('02_DS_Nhan_Viec'!$E:$E,MATCH($B162,'02_DS_Nhan_Viec'!$B:$B,0)),""))</f>
      </c>
      <c r="G162" s="68">
        <f t="shared" si="1"/>
      </c>
      <c r="H162" s="68">
        <f t="shared" si="2"/>
      </c>
      <c r="I162" s="68"/>
      <c r="J162" s="61"/>
      <c r="K162" s="61"/>
      <c r="L162" s="61"/>
      <c r="M162" s="61"/>
      <c r="N162" s="61"/>
      <c r="O162" s="61"/>
      <c r="P162" s="92"/>
      <c r="Q162" s="92"/>
      <c r="R162" s="93">
        <f t="shared" si="3"/>
      </c>
      <c r="S162" s="61"/>
      <c r="T162" s="61"/>
      <c r="U162" s="61"/>
      <c r="V162" s="61"/>
      <c r="W162" s="61">
        <f t="shared" si="4"/>
      </c>
      <c r="X162" s="94">
        <f t="shared" si="5"/>
      </c>
      <c r="Y162" s="94">
        <f t="shared" si="6"/>
      </c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95"/>
      <c r="AM162" s="61"/>
      <c r="AN162" s="61"/>
      <c r="AO162" s="68"/>
      <c r="AP162" s="61"/>
      <c r="AQ162" s="61"/>
      <c r="AR162" s="61"/>
      <c r="AS162" s="61"/>
      <c r="AT162" s="61"/>
      <c r="AU162" s="61"/>
      <c r="AV162" s="92"/>
      <c r="AW162" s="92"/>
      <c r="AX162" s="93">
        <f t="shared" si="7"/>
      </c>
      <c r="AY162" s="61"/>
      <c r="AZ162" s="61"/>
      <c r="BA162" s="61"/>
      <c r="BB162" s="61"/>
      <c r="BC162" s="61">
        <f t="shared" si="11"/>
      </c>
      <c r="BD162" s="94">
        <f t="shared" si="12"/>
      </c>
      <c r="BE162" s="94">
        <f t="shared" si="13"/>
      </c>
      <c r="BF162" s="61"/>
      <c r="BG162" s="61"/>
      <c r="BH162" s="61"/>
      <c r="BI162" s="61"/>
      <c r="BJ162" s="61"/>
      <c r="BK162" s="61"/>
      <c r="BL162" s="61"/>
      <c r="BM162" s="61"/>
      <c r="BN162" s="61"/>
      <c r="BO162" s="61"/>
      <c r="BP162" s="61"/>
      <c r="BQ162" s="61"/>
      <c r="BR162" s="95"/>
      <c r="BS162" s="61"/>
      <c r="BT162" s="61"/>
    </row>
    <row r="163" ht="14.25" customHeight="1" spans="1:72" x14ac:dyDescent="0.25">
      <c r="A163" s="61">
        <f t="shared" si="0"/>
      </c>
      <c r="B163" s="61">
        <f t="array" ref="B163">IFERROR(INDEX('02_DS_Nhan_Viec'!$B:$B,MATCH(ROW()-1,'02_DS_Nhan_Viec'!$M:$M,0)),"")</f>
      </c>
      <c r="C163" s="61">
        <f t="array" ref="C163">IF($B163="","",IFERROR(INDEX('01_UngVien_PhongVan'!$D:$D,MATCH($B163,'01_UngVien_PhongVan'!$B:$B,0)),"Không tìm thấy mã ứng viên"))</f>
      </c>
      <c r="D163" s="61">
        <f t="array" ref="D163">IF($B163="","",IFERROR(INDEX('01_UngVien_PhongVan'!$R:$R,MATCH($B163,'01_UngVien_PhongVan'!$B:$B,0)),""))</f>
      </c>
      <c r="E163" s="61">
        <f t="array" ref="E163">IF($B163="","",IFERROR(INDEX('02_DS_Nhan_Viec'!$H:$H,MATCH($B163,'02_DS_Nhan_Viec'!$B:$B,0)),""))</f>
      </c>
      <c r="F163" s="68">
        <f t="array" ref="F163">IF($B163="","",IFERROR(INDEX('02_DS_Nhan_Viec'!$E:$E,MATCH($B163,'02_DS_Nhan_Viec'!$B:$B,0)),""))</f>
      </c>
      <c r="G163" s="68">
        <f t="shared" si="1"/>
      </c>
      <c r="H163" s="68">
        <f t="shared" si="2"/>
      </c>
      <c r="I163" s="68"/>
      <c r="J163" s="61"/>
      <c r="K163" s="61"/>
      <c r="L163" s="61"/>
      <c r="M163" s="61"/>
      <c r="N163" s="61"/>
      <c r="O163" s="61"/>
      <c r="P163" s="92"/>
      <c r="Q163" s="92"/>
      <c r="R163" s="93">
        <f t="shared" si="3"/>
      </c>
      <c r="S163" s="61"/>
      <c r="T163" s="61"/>
      <c r="U163" s="61"/>
      <c r="V163" s="61"/>
      <c r="W163" s="61">
        <f t="shared" si="4"/>
      </c>
      <c r="X163" s="94">
        <f t="shared" si="5"/>
      </c>
      <c r="Y163" s="94">
        <f t="shared" si="6"/>
      </c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95"/>
      <c r="AM163" s="61"/>
      <c r="AN163" s="61"/>
      <c r="AO163" s="68"/>
      <c r="AP163" s="61"/>
      <c r="AQ163" s="61"/>
      <c r="AR163" s="61"/>
      <c r="AS163" s="61"/>
      <c r="AT163" s="61"/>
      <c r="AU163" s="61"/>
      <c r="AV163" s="92"/>
      <c r="AW163" s="92"/>
      <c r="AX163" s="93">
        <f t="shared" si="7"/>
      </c>
      <c r="AY163" s="61"/>
      <c r="AZ163" s="61"/>
      <c r="BA163" s="61"/>
      <c r="BB163" s="61"/>
      <c r="BC163" s="61">
        <f t="shared" si="11"/>
      </c>
      <c r="BD163" s="94">
        <f t="shared" si="12"/>
      </c>
      <c r="BE163" s="94">
        <f t="shared" si="13"/>
      </c>
      <c r="BF163" s="61"/>
      <c r="BG163" s="61"/>
      <c r="BH163" s="61"/>
      <c r="BI163" s="61"/>
      <c r="BJ163" s="61"/>
      <c r="BK163" s="61"/>
      <c r="BL163" s="61"/>
      <c r="BM163" s="61"/>
      <c r="BN163" s="61"/>
      <c r="BO163" s="61"/>
      <c r="BP163" s="61"/>
      <c r="BQ163" s="61"/>
      <c r="BR163" s="95"/>
      <c r="BS163" s="61"/>
      <c r="BT163" s="61"/>
    </row>
    <row r="164" ht="14.25" customHeight="1" spans="1:72" x14ac:dyDescent="0.25">
      <c r="A164" s="61">
        <f t="shared" si="0"/>
      </c>
      <c r="B164" s="61">
        <f t="array" ref="B164">IFERROR(INDEX('02_DS_Nhan_Viec'!$B:$B,MATCH(ROW()-1,'02_DS_Nhan_Viec'!$M:$M,0)),"")</f>
      </c>
      <c r="C164" s="61">
        <f t="array" ref="C164">IF($B164="","",IFERROR(INDEX('01_UngVien_PhongVan'!$D:$D,MATCH($B164,'01_UngVien_PhongVan'!$B:$B,0)),"Không tìm thấy mã ứng viên"))</f>
      </c>
      <c r="D164" s="61">
        <f t="array" ref="D164">IF($B164="","",IFERROR(INDEX('01_UngVien_PhongVan'!$R:$R,MATCH($B164,'01_UngVien_PhongVan'!$B:$B,0)),""))</f>
      </c>
      <c r="E164" s="61">
        <f t="array" ref="E164">IF($B164="","",IFERROR(INDEX('02_DS_Nhan_Viec'!$H:$H,MATCH($B164,'02_DS_Nhan_Viec'!$B:$B,0)),""))</f>
      </c>
      <c r="F164" s="68">
        <f t="array" ref="F164">IF($B164="","",IFERROR(INDEX('02_DS_Nhan_Viec'!$E:$E,MATCH($B164,'02_DS_Nhan_Viec'!$B:$B,0)),""))</f>
      </c>
      <c r="G164" s="68">
        <f t="shared" si="1"/>
      </c>
      <c r="H164" s="68">
        <f t="shared" si="2"/>
      </c>
      <c r="I164" s="68"/>
      <c r="J164" s="61"/>
      <c r="K164" s="61"/>
      <c r="L164" s="61"/>
      <c r="M164" s="61"/>
      <c r="N164" s="61"/>
      <c r="O164" s="61"/>
      <c r="P164" s="92"/>
      <c r="Q164" s="92"/>
      <c r="R164" s="93">
        <f t="shared" si="3"/>
      </c>
      <c r="S164" s="61"/>
      <c r="T164" s="61"/>
      <c r="U164" s="61"/>
      <c r="V164" s="61"/>
      <c r="W164" s="61">
        <f t="shared" si="4"/>
      </c>
      <c r="X164" s="94">
        <f t="shared" si="5"/>
      </c>
      <c r="Y164" s="94">
        <f t="shared" si="6"/>
      </c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95"/>
      <c r="AM164" s="61"/>
      <c r="AN164" s="61"/>
      <c r="AO164" s="68"/>
      <c r="AP164" s="61"/>
      <c r="AQ164" s="61"/>
      <c r="AR164" s="61"/>
      <c r="AS164" s="61"/>
      <c r="AT164" s="61"/>
      <c r="AU164" s="61"/>
      <c r="AV164" s="92"/>
      <c r="AW164" s="92"/>
      <c r="AX164" s="93">
        <f t="shared" si="7"/>
      </c>
      <c r="AY164" s="61"/>
      <c r="AZ164" s="61"/>
      <c r="BA164" s="61"/>
      <c r="BB164" s="61"/>
      <c r="BC164" s="61">
        <f t="shared" si="11"/>
      </c>
      <c r="BD164" s="94">
        <f t="shared" si="12"/>
      </c>
      <c r="BE164" s="94">
        <f t="shared" si="13"/>
      </c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95"/>
      <c r="BS164" s="61"/>
      <c r="BT164" s="61"/>
    </row>
    <row r="165" ht="14.25" customHeight="1" spans="1:72" x14ac:dyDescent="0.25">
      <c r="A165" s="61">
        <f t="shared" si="0"/>
      </c>
      <c r="B165" s="61">
        <f t="array" ref="B165">IFERROR(INDEX('02_DS_Nhan_Viec'!$B:$B,MATCH(ROW()-1,'02_DS_Nhan_Viec'!$M:$M,0)),"")</f>
      </c>
      <c r="C165" s="61">
        <f t="array" ref="C165">IF($B165="","",IFERROR(INDEX('01_UngVien_PhongVan'!$D:$D,MATCH($B165,'01_UngVien_PhongVan'!$B:$B,0)),"Không tìm thấy mã ứng viên"))</f>
      </c>
      <c r="D165" s="61">
        <f t="array" ref="D165">IF($B165="","",IFERROR(INDEX('01_UngVien_PhongVan'!$R:$R,MATCH($B165,'01_UngVien_PhongVan'!$B:$B,0)),""))</f>
      </c>
      <c r="E165" s="61">
        <f t="array" ref="E165">IF($B165="","",IFERROR(INDEX('02_DS_Nhan_Viec'!$H:$H,MATCH($B165,'02_DS_Nhan_Viec'!$B:$B,0)),""))</f>
      </c>
      <c r="F165" s="68">
        <f t="array" ref="F165">IF($B165="","",IFERROR(INDEX('02_DS_Nhan_Viec'!$E:$E,MATCH($B165,'02_DS_Nhan_Viec'!$B:$B,0)),""))</f>
      </c>
      <c r="G165" s="68">
        <f t="shared" si="1"/>
      </c>
      <c r="H165" s="68">
        <f t="shared" si="2"/>
      </c>
      <c r="I165" s="68"/>
      <c r="J165" s="61"/>
      <c r="K165" s="61"/>
      <c r="L165" s="61"/>
      <c r="M165" s="61"/>
      <c r="N165" s="61"/>
      <c r="O165" s="61"/>
      <c r="P165" s="92"/>
      <c r="Q165" s="92"/>
      <c r="R165" s="93">
        <f t="shared" si="3"/>
      </c>
      <c r="S165" s="61"/>
      <c r="T165" s="61"/>
      <c r="U165" s="61"/>
      <c r="V165" s="61"/>
      <c r="W165" s="61">
        <f t="shared" si="4"/>
      </c>
      <c r="X165" s="94">
        <f t="shared" si="5"/>
      </c>
      <c r="Y165" s="94">
        <f t="shared" si="6"/>
      </c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95"/>
      <c r="AM165" s="61"/>
      <c r="AN165" s="61"/>
      <c r="AO165" s="68"/>
      <c r="AP165" s="61"/>
      <c r="AQ165" s="61"/>
      <c r="AR165" s="61"/>
      <c r="AS165" s="61"/>
      <c r="AT165" s="61"/>
      <c r="AU165" s="61"/>
      <c r="AV165" s="92"/>
      <c r="AW165" s="92"/>
      <c r="AX165" s="93">
        <f t="shared" si="7"/>
      </c>
      <c r="AY165" s="61"/>
      <c r="AZ165" s="61"/>
      <c r="BA165" s="61"/>
      <c r="BB165" s="61"/>
      <c r="BC165" s="61">
        <f t="shared" si="11"/>
      </c>
      <c r="BD165" s="94">
        <f t="shared" si="12"/>
      </c>
      <c r="BE165" s="94">
        <f t="shared" si="13"/>
      </c>
      <c r="BF165" s="61"/>
      <c r="BG165" s="61"/>
      <c r="BH165" s="61"/>
      <c r="BI165" s="61"/>
      <c r="BJ165" s="61"/>
      <c r="BK165" s="61"/>
      <c r="BL165" s="61"/>
      <c r="BM165" s="61"/>
      <c r="BN165" s="61"/>
      <c r="BO165" s="61"/>
      <c r="BP165" s="61"/>
      <c r="BQ165" s="61"/>
      <c r="BR165" s="95"/>
      <c r="BS165" s="61"/>
      <c r="BT165" s="61"/>
    </row>
    <row r="166" ht="14.25" customHeight="1" spans="1:72" x14ac:dyDescent="0.25">
      <c r="A166" s="61">
        <f t="shared" si="0"/>
      </c>
      <c r="B166" s="61">
        <f t="array" ref="B166">IFERROR(INDEX('02_DS_Nhan_Viec'!$B:$B,MATCH(ROW()-1,'02_DS_Nhan_Viec'!$M:$M,0)),"")</f>
      </c>
      <c r="C166" s="61">
        <f t="array" ref="C166">IF($B166="","",IFERROR(INDEX('01_UngVien_PhongVan'!$D:$D,MATCH($B166,'01_UngVien_PhongVan'!$B:$B,0)),"Không tìm thấy mã ứng viên"))</f>
      </c>
      <c r="D166" s="61">
        <f t="array" ref="D166">IF($B166="","",IFERROR(INDEX('01_UngVien_PhongVan'!$R:$R,MATCH($B166,'01_UngVien_PhongVan'!$B:$B,0)),""))</f>
      </c>
      <c r="E166" s="61">
        <f t="array" ref="E166">IF($B166="","",IFERROR(INDEX('02_DS_Nhan_Viec'!$H:$H,MATCH($B166,'02_DS_Nhan_Viec'!$B:$B,0)),""))</f>
      </c>
      <c r="F166" s="68">
        <f t="array" ref="F166">IF($B166="","",IFERROR(INDEX('02_DS_Nhan_Viec'!$E:$E,MATCH($B166,'02_DS_Nhan_Viec'!$B:$B,0)),""))</f>
      </c>
      <c r="G166" s="68">
        <f t="shared" si="1"/>
      </c>
      <c r="H166" s="68">
        <f t="shared" si="2"/>
      </c>
      <c r="I166" s="68"/>
      <c r="J166" s="61"/>
      <c r="K166" s="61"/>
      <c r="L166" s="61"/>
      <c r="M166" s="61"/>
      <c r="N166" s="61"/>
      <c r="O166" s="61"/>
      <c r="P166" s="92"/>
      <c r="Q166" s="92"/>
      <c r="R166" s="93">
        <f t="shared" si="3"/>
      </c>
      <c r="S166" s="61"/>
      <c r="T166" s="61"/>
      <c r="U166" s="61"/>
      <c r="V166" s="61"/>
      <c r="W166" s="61">
        <f t="shared" si="4"/>
      </c>
      <c r="X166" s="94">
        <f t="shared" si="5"/>
      </c>
      <c r="Y166" s="94">
        <f t="shared" si="6"/>
      </c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95"/>
      <c r="AM166" s="61"/>
      <c r="AN166" s="61"/>
      <c r="AO166" s="68"/>
      <c r="AP166" s="61"/>
      <c r="AQ166" s="61"/>
      <c r="AR166" s="61"/>
      <c r="AS166" s="61"/>
      <c r="AT166" s="61"/>
      <c r="AU166" s="61"/>
      <c r="AV166" s="92"/>
      <c r="AW166" s="92"/>
      <c r="AX166" s="93">
        <f t="shared" si="7"/>
      </c>
      <c r="AY166" s="61"/>
      <c r="AZ166" s="61"/>
      <c r="BA166" s="61"/>
      <c r="BB166" s="61"/>
      <c r="BC166" s="61">
        <f t="shared" si="11"/>
      </c>
      <c r="BD166" s="94">
        <f t="shared" si="12"/>
      </c>
      <c r="BE166" s="94">
        <f t="shared" si="13"/>
      </c>
      <c r="BF166" s="61"/>
      <c r="BG166" s="61"/>
      <c r="BH166" s="61"/>
      <c r="BI166" s="61"/>
      <c r="BJ166" s="61"/>
      <c r="BK166" s="61"/>
      <c r="BL166" s="61"/>
      <c r="BM166" s="61"/>
      <c r="BN166" s="61"/>
      <c r="BO166" s="61"/>
      <c r="BP166" s="61"/>
      <c r="BQ166" s="61"/>
      <c r="BR166" s="95"/>
      <c r="BS166" s="61"/>
      <c r="BT166" s="61"/>
    </row>
    <row r="167" ht="14.25" customHeight="1" spans="1:72" x14ac:dyDescent="0.25">
      <c r="A167" s="61">
        <f t="shared" si="0"/>
      </c>
      <c r="B167" s="61">
        <f t="array" ref="B167">IFERROR(INDEX('02_DS_Nhan_Viec'!$B:$B,MATCH(ROW()-1,'02_DS_Nhan_Viec'!$M:$M,0)),"")</f>
      </c>
      <c r="C167" s="61">
        <f t="array" ref="C167">IF($B167="","",IFERROR(INDEX('01_UngVien_PhongVan'!$D:$D,MATCH($B167,'01_UngVien_PhongVan'!$B:$B,0)),"Không tìm thấy mã ứng viên"))</f>
      </c>
      <c r="D167" s="61">
        <f t="array" ref="D167">IF($B167="","",IFERROR(INDEX('01_UngVien_PhongVan'!$R:$R,MATCH($B167,'01_UngVien_PhongVan'!$B:$B,0)),""))</f>
      </c>
      <c r="E167" s="61">
        <f t="array" ref="E167">IF($B167="","",IFERROR(INDEX('02_DS_Nhan_Viec'!$H:$H,MATCH($B167,'02_DS_Nhan_Viec'!$B:$B,0)),""))</f>
      </c>
      <c r="F167" s="68">
        <f t="array" ref="F167">IF($B167="","",IFERROR(INDEX('02_DS_Nhan_Viec'!$E:$E,MATCH($B167,'02_DS_Nhan_Viec'!$B:$B,0)),""))</f>
      </c>
      <c r="G167" s="68">
        <f t="shared" si="1"/>
      </c>
      <c r="H167" s="68">
        <f t="shared" si="2"/>
      </c>
      <c r="I167" s="68"/>
      <c r="J167" s="61"/>
      <c r="K167" s="61"/>
      <c r="L167" s="61"/>
      <c r="M167" s="61"/>
      <c r="N167" s="61"/>
      <c r="O167" s="61"/>
      <c r="P167" s="92"/>
      <c r="Q167" s="92"/>
      <c r="R167" s="93">
        <f t="shared" si="3"/>
      </c>
      <c r="S167" s="61"/>
      <c r="T167" s="61"/>
      <c r="U167" s="61"/>
      <c r="V167" s="61"/>
      <c r="W167" s="61">
        <f t="shared" si="4"/>
      </c>
      <c r="X167" s="94">
        <f t="shared" si="5"/>
      </c>
      <c r="Y167" s="94">
        <f t="shared" si="6"/>
      </c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95"/>
      <c r="AM167" s="61"/>
      <c r="AN167" s="61"/>
      <c r="AO167" s="68"/>
      <c r="AP167" s="61"/>
      <c r="AQ167" s="61"/>
      <c r="AR167" s="61"/>
      <c r="AS167" s="61"/>
      <c r="AT167" s="61"/>
      <c r="AU167" s="61"/>
      <c r="AV167" s="92"/>
      <c r="AW167" s="92"/>
      <c r="AX167" s="93">
        <f t="shared" si="7"/>
      </c>
      <c r="AY167" s="61"/>
      <c r="AZ167" s="61"/>
      <c r="BA167" s="61"/>
      <c r="BB167" s="61"/>
      <c r="BC167" s="61">
        <f t="shared" si="11"/>
      </c>
      <c r="BD167" s="94">
        <f t="shared" si="12"/>
      </c>
      <c r="BE167" s="94">
        <f t="shared" si="13"/>
      </c>
      <c r="BF167" s="61"/>
      <c r="BG167" s="61"/>
      <c r="BH167" s="61"/>
      <c r="BI167" s="61"/>
      <c r="BJ167" s="61"/>
      <c r="BK167" s="61"/>
      <c r="BL167" s="61"/>
      <c r="BM167" s="61"/>
      <c r="BN167" s="61"/>
      <c r="BO167" s="61"/>
      <c r="BP167" s="61"/>
      <c r="BQ167" s="61"/>
      <c r="BR167" s="95"/>
      <c r="BS167" s="61"/>
      <c r="BT167" s="61"/>
    </row>
    <row r="168" ht="14.25" customHeight="1" spans="1:72" x14ac:dyDescent="0.25">
      <c r="A168" s="61">
        <f t="shared" si="0"/>
      </c>
      <c r="B168" s="61">
        <f t="array" ref="B168">IFERROR(INDEX('02_DS_Nhan_Viec'!$B:$B,MATCH(ROW()-1,'02_DS_Nhan_Viec'!$M:$M,0)),"")</f>
      </c>
      <c r="C168" s="61">
        <f t="array" ref="C168">IF($B168="","",IFERROR(INDEX('01_UngVien_PhongVan'!$D:$D,MATCH($B168,'01_UngVien_PhongVan'!$B:$B,0)),"Không tìm thấy mã ứng viên"))</f>
      </c>
      <c r="D168" s="61">
        <f t="array" ref="D168">IF($B168="","",IFERROR(INDEX('01_UngVien_PhongVan'!$R:$R,MATCH($B168,'01_UngVien_PhongVan'!$B:$B,0)),""))</f>
      </c>
      <c r="E168" s="61">
        <f t="array" ref="E168">IF($B168="","",IFERROR(INDEX('02_DS_Nhan_Viec'!$H:$H,MATCH($B168,'02_DS_Nhan_Viec'!$B:$B,0)),""))</f>
      </c>
      <c r="F168" s="68">
        <f t="array" ref="F168">IF($B168="","",IFERROR(INDEX('02_DS_Nhan_Viec'!$E:$E,MATCH($B168,'02_DS_Nhan_Viec'!$B:$B,0)),""))</f>
      </c>
      <c r="G168" s="68">
        <f t="shared" si="1"/>
      </c>
      <c r="H168" s="68">
        <f t="shared" si="2"/>
      </c>
      <c r="I168" s="68"/>
      <c r="J168" s="61"/>
      <c r="K168" s="61"/>
      <c r="L168" s="61"/>
      <c r="M168" s="61"/>
      <c r="N168" s="61"/>
      <c r="O168" s="61"/>
      <c r="P168" s="92"/>
      <c r="Q168" s="92"/>
      <c r="R168" s="93">
        <f t="shared" si="3"/>
      </c>
      <c r="S168" s="61"/>
      <c r="T168" s="61"/>
      <c r="U168" s="61"/>
      <c r="V168" s="61"/>
      <c r="W168" s="61">
        <f t="shared" si="4"/>
      </c>
      <c r="X168" s="94">
        <f t="shared" si="5"/>
      </c>
      <c r="Y168" s="94">
        <f t="shared" si="6"/>
      </c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95"/>
      <c r="AM168" s="61"/>
      <c r="AN168" s="61"/>
      <c r="AO168" s="68"/>
      <c r="AP168" s="61"/>
      <c r="AQ168" s="61"/>
      <c r="AR168" s="61"/>
      <c r="AS168" s="61"/>
      <c r="AT168" s="61"/>
      <c r="AU168" s="61"/>
      <c r="AV168" s="92"/>
      <c r="AW168" s="92"/>
      <c r="AX168" s="93">
        <f t="shared" si="7"/>
      </c>
      <c r="AY168" s="61"/>
      <c r="AZ168" s="61"/>
      <c r="BA168" s="61"/>
      <c r="BB168" s="61"/>
      <c r="BC168" s="61">
        <f t="shared" si="11"/>
      </c>
      <c r="BD168" s="94">
        <f t="shared" si="12"/>
      </c>
      <c r="BE168" s="94">
        <f t="shared" si="13"/>
      </c>
      <c r="BF168" s="61"/>
      <c r="BG168" s="61"/>
      <c r="BH168" s="61"/>
      <c r="BI168" s="61"/>
      <c r="BJ168" s="61"/>
      <c r="BK168" s="61"/>
      <c r="BL168" s="61"/>
      <c r="BM168" s="61"/>
      <c r="BN168" s="61"/>
      <c r="BO168" s="61"/>
      <c r="BP168" s="61"/>
      <c r="BQ168" s="61"/>
      <c r="BR168" s="95"/>
      <c r="BS168" s="61"/>
      <c r="BT168" s="61"/>
    </row>
    <row r="169" ht="14.25" customHeight="1" spans="1:72" x14ac:dyDescent="0.25">
      <c r="A169" s="61">
        <f t="shared" si="0"/>
      </c>
      <c r="B169" s="61">
        <f t="array" ref="B169">IFERROR(INDEX('02_DS_Nhan_Viec'!$B:$B,MATCH(ROW()-1,'02_DS_Nhan_Viec'!$M:$M,0)),"")</f>
      </c>
      <c r="C169" s="61">
        <f t="array" ref="C169">IF($B169="","",IFERROR(INDEX('01_UngVien_PhongVan'!$D:$D,MATCH($B169,'01_UngVien_PhongVan'!$B:$B,0)),"Không tìm thấy mã ứng viên"))</f>
      </c>
      <c r="D169" s="61">
        <f t="array" ref="D169">IF($B169="","",IFERROR(INDEX('01_UngVien_PhongVan'!$R:$R,MATCH($B169,'01_UngVien_PhongVan'!$B:$B,0)),""))</f>
      </c>
      <c r="E169" s="61">
        <f t="array" ref="E169">IF($B169="","",IFERROR(INDEX('02_DS_Nhan_Viec'!$H:$H,MATCH($B169,'02_DS_Nhan_Viec'!$B:$B,0)),""))</f>
      </c>
      <c r="F169" s="68">
        <f t="array" ref="F169">IF($B169="","",IFERROR(INDEX('02_DS_Nhan_Viec'!$E:$E,MATCH($B169,'02_DS_Nhan_Viec'!$B:$B,0)),""))</f>
      </c>
      <c r="G169" s="68">
        <f t="shared" si="1"/>
      </c>
      <c r="H169" s="68">
        <f t="shared" si="2"/>
      </c>
      <c r="I169" s="68"/>
      <c r="J169" s="61"/>
      <c r="K169" s="61"/>
      <c r="L169" s="61"/>
      <c r="M169" s="61"/>
      <c r="N169" s="61"/>
      <c r="O169" s="61"/>
      <c r="P169" s="92"/>
      <c r="Q169" s="92"/>
      <c r="R169" s="93">
        <f t="shared" si="3"/>
      </c>
      <c r="S169" s="61"/>
      <c r="T169" s="61"/>
      <c r="U169" s="61"/>
      <c r="V169" s="61"/>
      <c r="W169" s="61">
        <f t="shared" si="4"/>
      </c>
      <c r="X169" s="94">
        <f t="shared" si="5"/>
      </c>
      <c r="Y169" s="94">
        <f t="shared" si="6"/>
      </c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95"/>
      <c r="AM169" s="61"/>
      <c r="AN169" s="61"/>
      <c r="AO169" s="68"/>
      <c r="AP169" s="61"/>
      <c r="AQ169" s="61"/>
      <c r="AR169" s="61"/>
      <c r="AS169" s="61"/>
      <c r="AT169" s="61"/>
      <c r="AU169" s="61"/>
      <c r="AV169" s="92"/>
      <c r="AW169" s="92"/>
      <c r="AX169" s="93">
        <f t="shared" si="7"/>
      </c>
      <c r="AY169" s="61"/>
      <c r="AZ169" s="61"/>
      <c r="BA169" s="61"/>
      <c r="BB169" s="61"/>
      <c r="BC169" s="61">
        <f t="shared" si="11"/>
      </c>
      <c r="BD169" s="94">
        <f t="shared" si="12"/>
      </c>
      <c r="BE169" s="94">
        <f t="shared" si="13"/>
      </c>
      <c r="BF169" s="61"/>
      <c r="BG169" s="61"/>
      <c r="BH169" s="61"/>
      <c r="BI169" s="61"/>
      <c r="BJ169" s="61"/>
      <c r="BK169" s="61"/>
      <c r="BL169" s="61"/>
      <c r="BM169" s="61"/>
      <c r="BN169" s="61"/>
      <c r="BO169" s="61"/>
      <c r="BP169" s="61"/>
      <c r="BQ169" s="61"/>
      <c r="BR169" s="95"/>
      <c r="BS169" s="61"/>
      <c r="BT169" s="61"/>
    </row>
    <row r="170" ht="14.25" customHeight="1" spans="1:72" x14ac:dyDescent="0.25">
      <c r="A170" s="61">
        <f t="shared" si="0"/>
      </c>
      <c r="B170" s="61">
        <f t="array" ref="B170">IFERROR(INDEX('02_DS_Nhan_Viec'!$B:$B,MATCH(ROW()-1,'02_DS_Nhan_Viec'!$M:$M,0)),"")</f>
      </c>
      <c r="C170" s="61">
        <f t="array" ref="C170">IF($B170="","",IFERROR(INDEX('01_UngVien_PhongVan'!$D:$D,MATCH($B170,'01_UngVien_PhongVan'!$B:$B,0)),"Không tìm thấy mã ứng viên"))</f>
      </c>
      <c r="D170" s="61">
        <f t="array" ref="D170">IF($B170="","",IFERROR(INDEX('01_UngVien_PhongVan'!$R:$R,MATCH($B170,'01_UngVien_PhongVan'!$B:$B,0)),""))</f>
      </c>
      <c r="E170" s="61">
        <f t="array" ref="E170">IF($B170="","",IFERROR(INDEX('02_DS_Nhan_Viec'!$H:$H,MATCH($B170,'02_DS_Nhan_Viec'!$B:$B,0)),""))</f>
      </c>
      <c r="F170" s="68">
        <f t="array" ref="F170">IF($B170="","",IFERROR(INDEX('02_DS_Nhan_Viec'!$E:$E,MATCH($B170,'02_DS_Nhan_Viec'!$B:$B,0)),""))</f>
      </c>
      <c r="G170" s="68">
        <f t="shared" si="1"/>
      </c>
      <c r="H170" s="68">
        <f t="shared" si="2"/>
      </c>
      <c r="I170" s="68"/>
      <c r="J170" s="61"/>
      <c r="K170" s="61"/>
      <c r="L170" s="61"/>
      <c r="M170" s="61"/>
      <c r="N170" s="61"/>
      <c r="O170" s="61"/>
      <c r="P170" s="92"/>
      <c r="Q170" s="92"/>
      <c r="R170" s="93">
        <f t="shared" si="3"/>
      </c>
      <c r="S170" s="61"/>
      <c r="T170" s="61"/>
      <c r="U170" s="61"/>
      <c r="V170" s="61"/>
      <c r="W170" s="61">
        <f t="shared" si="4"/>
      </c>
      <c r="X170" s="94">
        <f t="shared" si="5"/>
      </c>
      <c r="Y170" s="94">
        <f t="shared" si="6"/>
      </c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95"/>
      <c r="AM170" s="61"/>
      <c r="AN170" s="61"/>
      <c r="AO170" s="68"/>
      <c r="AP170" s="61"/>
      <c r="AQ170" s="61"/>
      <c r="AR170" s="61"/>
      <c r="AS170" s="61"/>
      <c r="AT170" s="61"/>
      <c r="AU170" s="61"/>
      <c r="AV170" s="92"/>
      <c r="AW170" s="92"/>
      <c r="AX170" s="93">
        <f t="shared" si="7"/>
      </c>
      <c r="AY170" s="61"/>
      <c r="AZ170" s="61"/>
      <c r="BA170" s="61"/>
      <c r="BB170" s="61"/>
      <c r="BC170" s="61">
        <f t="shared" si="11"/>
      </c>
      <c r="BD170" s="94">
        <f t="shared" si="12"/>
      </c>
      <c r="BE170" s="94">
        <f t="shared" si="13"/>
      </c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95"/>
      <c r="BS170" s="61"/>
      <c r="BT170" s="61"/>
    </row>
    <row r="171" ht="14.25" customHeight="1" spans="1:72" x14ac:dyDescent="0.25">
      <c r="A171" s="61">
        <f t="shared" si="0"/>
      </c>
      <c r="B171" s="61">
        <f t="array" ref="B171">IFERROR(INDEX('02_DS_Nhan_Viec'!$B:$B,MATCH(ROW()-1,'02_DS_Nhan_Viec'!$M:$M,0)),"")</f>
      </c>
      <c r="C171" s="61">
        <f t="array" ref="C171">IF($B171="","",IFERROR(INDEX('01_UngVien_PhongVan'!$D:$D,MATCH($B171,'01_UngVien_PhongVan'!$B:$B,0)),"Không tìm thấy mã ứng viên"))</f>
      </c>
      <c r="D171" s="61">
        <f t="array" ref="D171">IF($B171="","",IFERROR(INDEX('01_UngVien_PhongVan'!$R:$R,MATCH($B171,'01_UngVien_PhongVan'!$B:$B,0)),""))</f>
      </c>
      <c r="E171" s="61">
        <f t="array" ref="E171">IF($B171="","",IFERROR(INDEX('02_DS_Nhan_Viec'!$H:$H,MATCH($B171,'02_DS_Nhan_Viec'!$B:$B,0)),""))</f>
      </c>
      <c r="F171" s="68">
        <f t="array" ref="F171">IF($B171="","",IFERROR(INDEX('02_DS_Nhan_Viec'!$E:$E,MATCH($B171,'02_DS_Nhan_Viec'!$B:$B,0)),""))</f>
      </c>
      <c r="G171" s="68">
        <f t="shared" si="1"/>
      </c>
      <c r="H171" s="68">
        <f t="shared" si="2"/>
      </c>
      <c r="I171" s="68"/>
      <c r="J171" s="61"/>
      <c r="K171" s="61"/>
      <c r="L171" s="61"/>
      <c r="M171" s="61"/>
      <c r="N171" s="61"/>
      <c r="O171" s="61"/>
      <c r="P171" s="92"/>
      <c r="Q171" s="92"/>
      <c r="R171" s="93">
        <f t="shared" si="3"/>
      </c>
      <c r="S171" s="61"/>
      <c r="T171" s="61"/>
      <c r="U171" s="61"/>
      <c r="V171" s="61"/>
      <c r="W171" s="61">
        <f t="shared" si="4"/>
      </c>
      <c r="X171" s="94">
        <f t="shared" si="5"/>
      </c>
      <c r="Y171" s="94">
        <f t="shared" si="6"/>
      </c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95"/>
      <c r="AM171" s="61"/>
      <c r="AN171" s="61"/>
      <c r="AO171" s="68"/>
      <c r="AP171" s="61"/>
      <c r="AQ171" s="61"/>
      <c r="AR171" s="61"/>
      <c r="AS171" s="61"/>
      <c r="AT171" s="61"/>
      <c r="AU171" s="61"/>
      <c r="AV171" s="92"/>
      <c r="AW171" s="92"/>
      <c r="AX171" s="93">
        <f t="shared" si="7"/>
      </c>
      <c r="AY171" s="61"/>
      <c r="AZ171" s="61"/>
      <c r="BA171" s="61"/>
      <c r="BB171" s="61"/>
      <c r="BC171" s="61">
        <f t="shared" si="11"/>
      </c>
      <c r="BD171" s="94">
        <f t="shared" si="12"/>
      </c>
      <c r="BE171" s="94">
        <f t="shared" si="13"/>
      </c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95"/>
      <c r="BS171" s="61"/>
      <c r="BT171" s="61"/>
    </row>
    <row r="172" ht="14.25" customHeight="1" spans="1:72" x14ac:dyDescent="0.25">
      <c r="A172" s="61">
        <f t="shared" si="0"/>
      </c>
      <c r="B172" s="61">
        <f t="array" ref="B172">IFERROR(INDEX('02_DS_Nhan_Viec'!$B:$B,MATCH(ROW()-1,'02_DS_Nhan_Viec'!$M:$M,0)),"")</f>
      </c>
      <c r="C172" s="61">
        <f t="array" ref="C172">IF($B172="","",IFERROR(INDEX('01_UngVien_PhongVan'!$D:$D,MATCH($B172,'01_UngVien_PhongVan'!$B:$B,0)),"Không tìm thấy mã ứng viên"))</f>
      </c>
      <c r="D172" s="61">
        <f t="array" ref="D172">IF($B172="","",IFERROR(INDEX('01_UngVien_PhongVan'!$R:$R,MATCH($B172,'01_UngVien_PhongVan'!$B:$B,0)),""))</f>
      </c>
      <c r="E172" s="61">
        <f t="array" ref="E172">IF($B172="","",IFERROR(INDEX('02_DS_Nhan_Viec'!$H:$H,MATCH($B172,'02_DS_Nhan_Viec'!$B:$B,0)),""))</f>
      </c>
      <c r="F172" s="68">
        <f t="array" ref="F172">IF($B172="","",IFERROR(INDEX('02_DS_Nhan_Viec'!$E:$E,MATCH($B172,'02_DS_Nhan_Viec'!$B:$B,0)),""))</f>
      </c>
      <c r="G172" s="68">
        <f t="shared" si="1"/>
      </c>
      <c r="H172" s="68">
        <f t="shared" si="2"/>
      </c>
      <c r="I172" s="68"/>
      <c r="J172" s="61"/>
      <c r="K172" s="61"/>
      <c r="L172" s="61"/>
      <c r="M172" s="61"/>
      <c r="N172" s="61"/>
      <c r="O172" s="61"/>
      <c r="P172" s="92"/>
      <c r="Q172" s="92"/>
      <c r="R172" s="93">
        <f t="shared" si="3"/>
      </c>
      <c r="S172" s="61"/>
      <c r="T172" s="61"/>
      <c r="U172" s="61"/>
      <c r="V172" s="61"/>
      <c r="W172" s="61">
        <f t="shared" si="4"/>
      </c>
      <c r="X172" s="94">
        <f t="shared" si="5"/>
      </c>
      <c r="Y172" s="94">
        <f t="shared" si="6"/>
      </c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95"/>
      <c r="AM172" s="61"/>
      <c r="AN172" s="61"/>
      <c r="AO172" s="68"/>
      <c r="AP172" s="61"/>
      <c r="AQ172" s="61"/>
      <c r="AR172" s="61"/>
      <c r="AS172" s="61"/>
      <c r="AT172" s="61"/>
      <c r="AU172" s="61"/>
      <c r="AV172" s="92"/>
      <c r="AW172" s="92"/>
      <c r="AX172" s="93">
        <f t="shared" si="7"/>
      </c>
      <c r="AY172" s="61"/>
      <c r="AZ172" s="61"/>
      <c r="BA172" s="61"/>
      <c r="BB172" s="61"/>
      <c r="BC172" s="61">
        <f t="shared" si="11"/>
      </c>
      <c r="BD172" s="94">
        <f t="shared" si="12"/>
      </c>
      <c r="BE172" s="94">
        <f t="shared" si="13"/>
      </c>
      <c r="BF172" s="61"/>
      <c r="BG172" s="61"/>
      <c r="BH172" s="61"/>
      <c r="BI172" s="61"/>
      <c r="BJ172" s="61"/>
      <c r="BK172" s="61"/>
      <c r="BL172" s="61"/>
      <c r="BM172" s="61"/>
      <c r="BN172" s="61"/>
      <c r="BO172" s="61"/>
      <c r="BP172" s="61"/>
      <c r="BQ172" s="61"/>
      <c r="BR172" s="95"/>
      <c r="BS172" s="61"/>
      <c r="BT172" s="61"/>
    </row>
    <row r="173" ht="14.25" customHeight="1" spans="1:72" x14ac:dyDescent="0.25">
      <c r="A173" s="61">
        <f t="shared" si="0"/>
      </c>
      <c r="B173" s="61">
        <f t="array" ref="B173">IFERROR(INDEX('02_DS_Nhan_Viec'!$B:$B,MATCH(ROW()-1,'02_DS_Nhan_Viec'!$M:$M,0)),"")</f>
      </c>
      <c r="C173" s="61">
        <f t="array" ref="C173">IF($B173="","",IFERROR(INDEX('01_UngVien_PhongVan'!$D:$D,MATCH($B173,'01_UngVien_PhongVan'!$B:$B,0)),"Không tìm thấy mã ứng viên"))</f>
      </c>
      <c r="D173" s="61">
        <f t="array" ref="D173">IF($B173="","",IFERROR(INDEX('01_UngVien_PhongVan'!$R:$R,MATCH($B173,'01_UngVien_PhongVan'!$B:$B,0)),""))</f>
      </c>
      <c r="E173" s="61">
        <f t="array" ref="E173">IF($B173="","",IFERROR(INDEX('02_DS_Nhan_Viec'!$H:$H,MATCH($B173,'02_DS_Nhan_Viec'!$B:$B,0)),""))</f>
      </c>
      <c r="F173" s="68">
        <f t="array" ref="F173">IF($B173="","",IFERROR(INDEX('02_DS_Nhan_Viec'!$E:$E,MATCH($B173,'02_DS_Nhan_Viec'!$B:$B,0)),""))</f>
      </c>
      <c r="G173" s="68">
        <f t="shared" si="1"/>
      </c>
      <c r="H173" s="68">
        <f t="shared" si="2"/>
      </c>
      <c r="I173" s="68"/>
      <c r="J173" s="61"/>
      <c r="K173" s="61"/>
      <c r="L173" s="61"/>
      <c r="M173" s="61"/>
      <c r="N173" s="61"/>
      <c r="O173" s="61"/>
      <c r="P173" s="92"/>
      <c r="Q173" s="92"/>
      <c r="R173" s="93">
        <f t="shared" si="3"/>
      </c>
      <c r="S173" s="61"/>
      <c r="T173" s="61"/>
      <c r="U173" s="61"/>
      <c r="V173" s="61"/>
      <c r="W173" s="61">
        <f t="shared" si="4"/>
      </c>
      <c r="X173" s="94">
        <f t="shared" si="5"/>
      </c>
      <c r="Y173" s="94">
        <f t="shared" si="6"/>
      </c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95"/>
      <c r="AM173" s="61"/>
      <c r="AN173" s="61"/>
      <c r="AO173" s="68"/>
      <c r="AP173" s="61"/>
      <c r="AQ173" s="61"/>
      <c r="AR173" s="61"/>
      <c r="AS173" s="61"/>
      <c r="AT173" s="61"/>
      <c r="AU173" s="61"/>
      <c r="AV173" s="92"/>
      <c r="AW173" s="92"/>
      <c r="AX173" s="93">
        <f t="shared" si="7"/>
      </c>
      <c r="AY173" s="61"/>
      <c r="AZ173" s="61"/>
      <c r="BA173" s="61"/>
      <c r="BB173" s="61"/>
      <c r="BC173" s="61">
        <f t="shared" si="11"/>
      </c>
      <c r="BD173" s="94">
        <f t="shared" si="12"/>
      </c>
      <c r="BE173" s="94">
        <f t="shared" si="13"/>
      </c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95"/>
      <c r="BS173" s="61"/>
      <c r="BT173" s="61"/>
    </row>
    <row r="174" ht="14.25" customHeight="1" spans="1:72" x14ac:dyDescent="0.25">
      <c r="A174" s="61">
        <f t="shared" si="0"/>
      </c>
      <c r="B174" s="61">
        <f t="array" ref="B174">IFERROR(INDEX('02_DS_Nhan_Viec'!$B:$B,MATCH(ROW()-1,'02_DS_Nhan_Viec'!$M:$M,0)),"")</f>
      </c>
      <c r="C174" s="61">
        <f t="array" ref="C174">IF($B174="","",IFERROR(INDEX('01_UngVien_PhongVan'!$D:$D,MATCH($B174,'01_UngVien_PhongVan'!$B:$B,0)),"Không tìm thấy mã ứng viên"))</f>
      </c>
      <c r="D174" s="61">
        <f t="array" ref="D174">IF($B174="","",IFERROR(INDEX('01_UngVien_PhongVan'!$R:$R,MATCH($B174,'01_UngVien_PhongVan'!$B:$B,0)),""))</f>
      </c>
      <c r="E174" s="61">
        <f t="array" ref="E174">IF($B174="","",IFERROR(INDEX('02_DS_Nhan_Viec'!$H:$H,MATCH($B174,'02_DS_Nhan_Viec'!$B:$B,0)),""))</f>
      </c>
      <c r="F174" s="68">
        <f t="array" ref="F174">IF($B174="","",IFERROR(INDEX('02_DS_Nhan_Viec'!$E:$E,MATCH($B174,'02_DS_Nhan_Viec'!$B:$B,0)),""))</f>
      </c>
      <c r="G174" s="68">
        <f t="shared" si="1"/>
      </c>
      <c r="H174" s="68">
        <f t="shared" si="2"/>
      </c>
      <c r="I174" s="68"/>
      <c r="J174" s="61"/>
      <c r="K174" s="61"/>
      <c r="L174" s="61"/>
      <c r="M174" s="61"/>
      <c r="N174" s="61"/>
      <c r="O174" s="61"/>
      <c r="P174" s="92"/>
      <c r="Q174" s="92"/>
      <c r="R174" s="93">
        <f t="shared" si="3"/>
      </c>
      <c r="S174" s="61"/>
      <c r="T174" s="61"/>
      <c r="U174" s="61"/>
      <c r="V174" s="61"/>
      <c r="W174" s="61">
        <f t="shared" si="4"/>
      </c>
      <c r="X174" s="94">
        <f t="shared" si="5"/>
      </c>
      <c r="Y174" s="94">
        <f t="shared" si="6"/>
      </c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95"/>
      <c r="AM174" s="61"/>
      <c r="AN174" s="61"/>
      <c r="AO174" s="68"/>
      <c r="AP174" s="61"/>
      <c r="AQ174" s="61"/>
      <c r="AR174" s="61"/>
      <c r="AS174" s="61"/>
      <c r="AT174" s="61"/>
      <c r="AU174" s="61"/>
      <c r="AV174" s="92"/>
      <c r="AW174" s="92"/>
      <c r="AX174" s="93">
        <f t="shared" si="7"/>
      </c>
      <c r="AY174" s="61"/>
      <c r="AZ174" s="61"/>
      <c r="BA174" s="61"/>
      <c r="BB174" s="61"/>
      <c r="BC174" s="61">
        <f t="shared" si="11"/>
      </c>
      <c r="BD174" s="94">
        <f t="shared" si="12"/>
      </c>
      <c r="BE174" s="94">
        <f t="shared" si="13"/>
      </c>
      <c r="BF174" s="61"/>
      <c r="BG174" s="61"/>
      <c r="BH174" s="61"/>
      <c r="BI174" s="61"/>
      <c r="BJ174" s="61"/>
      <c r="BK174" s="61"/>
      <c r="BL174" s="61"/>
      <c r="BM174" s="61"/>
      <c r="BN174" s="61"/>
      <c r="BO174" s="61"/>
      <c r="BP174" s="61"/>
      <c r="BQ174" s="61"/>
      <c r="BR174" s="95"/>
      <c r="BS174" s="61"/>
      <c r="BT174" s="61"/>
    </row>
    <row r="175" ht="14.25" customHeight="1" spans="1:72" x14ac:dyDescent="0.25">
      <c r="A175" s="61">
        <f t="shared" si="0"/>
      </c>
      <c r="B175" s="61">
        <f t="array" ref="B175">IFERROR(INDEX('02_DS_Nhan_Viec'!$B:$B,MATCH(ROW()-1,'02_DS_Nhan_Viec'!$M:$M,0)),"")</f>
      </c>
      <c r="C175" s="61">
        <f t="array" ref="C175">IF($B175="","",IFERROR(INDEX('01_UngVien_PhongVan'!$D:$D,MATCH($B175,'01_UngVien_PhongVan'!$B:$B,0)),"Không tìm thấy mã ứng viên"))</f>
      </c>
      <c r="D175" s="61">
        <f t="array" ref="D175">IF($B175="","",IFERROR(INDEX('01_UngVien_PhongVan'!$R:$R,MATCH($B175,'01_UngVien_PhongVan'!$B:$B,0)),""))</f>
      </c>
      <c r="E175" s="61">
        <f t="array" ref="E175">IF($B175="","",IFERROR(INDEX('02_DS_Nhan_Viec'!$H:$H,MATCH($B175,'02_DS_Nhan_Viec'!$B:$B,0)),""))</f>
      </c>
      <c r="F175" s="68">
        <f t="array" ref="F175">IF($B175="","",IFERROR(INDEX('02_DS_Nhan_Viec'!$E:$E,MATCH($B175,'02_DS_Nhan_Viec'!$B:$B,0)),""))</f>
      </c>
      <c r="G175" s="68">
        <f t="shared" si="1"/>
      </c>
      <c r="H175" s="68">
        <f t="shared" si="2"/>
      </c>
      <c r="I175" s="68"/>
      <c r="J175" s="61"/>
      <c r="K175" s="61"/>
      <c r="L175" s="61"/>
      <c r="M175" s="61"/>
      <c r="N175" s="61"/>
      <c r="O175" s="61"/>
      <c r="P175" s="92"/>
      <c r="Q175" s="92"/>
      <c r="R175" s="93">
        <f t="shared" si="3"/>
      </c>
      <c r="S175" s="61"/>
      <c r="T175" s="61"/>
      <c r="U175" s="61"/>
      <c r="V175" s="61"/>
      <c r="W175" s="61">
        <f t="shared" si="4"/>
      </c>
      <c r="X175" s="94">
        <f t="shared" si="5"/>
      </c>
      <c r="Y175" s="94">
        <f t="shared" si="6"/>
      </c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95"/>
      <c r="AM175" s="61"/>
      <c r="AN175" s="61"/>
      <c r="AO175" s="68"/>
      <c r="AP175" s="61"/>
      <c r="AQ175" s="61"/>
      <c r="AR175" s="61"/>
      <c r="AS175" s="61"/>
      <c r="AT175" s="61"/>
      <c r="AU175" s="61"/>
      <c r="AV175" s="92"/>
      <c r="AW175" s="92"/>
      <c r="AX175" s="93">
        <f t="shared" si="7"/>
      </c>
      <c r="AY175" s="61"/>
      <c r="AZ175" s="61"/>
      <c r="BA175" s="61"/>
      <c r="BB175" s="61"/>
      <c r="BC175" s="61">
        <f t="shared" si="11"/>
      </c>
      <c r="BD175" s="94">
        <f t="shared" si="12"/>
      </c>
      <c r="BE175" s="94">
        <f t="shared" si="13"/>
      </c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95"/>
      <c r="BS175" s="61"/>
      <c r="BT175" s="61"/>
    </row>
    <row r="176" ht="14.25" customHeight="1" spans="1:72" x14ac:dyDescent="0.25">
      <c r="A176" s="61">
        <f t="shared" si="0"/>
      </c>
      <c r="B176" s="61">
        <f t="array" ref="B176">IFERROR(INDEX('02_DS_Nhan_Viec'!$B:$B,MATCH(ROW()-1,'02_DS_Nhan_Viec'!$M:$M,0)),"")</f>
      </c>
      <c r="C176" s="61">
        <f t="array" ref="C176">IF($B176="","",IFERROR(INDEX('01_UngVien_PhongVan'!$D:$D,MATCH($B176,'01_UngVien_PhongVan'!$B:$B,0)),"Không tìm thấy mã ứng viên"))</f>
      </c>
      <c r="D176" s="61">
        <f t="array" ref="D176">IF($B176="","",IFERROR(INDEX('01_UngVien_PhongVan'!$R:$R,MATCH($B176,'01_UngVien_PhongVan'!$B:$B,0)),""))</f>
      </c>
      <c r="E176" s="61">
        <f t="array" ref="E176">IF($B176="","",IFERROR(INDEX('02_DS_Nhan_Viec'!$H:$H,MATCH($B176,'02_DS_Nhan_Viec'!$B:$B,0)),""))</f>
      </c>
      <c r="F176" s="68">
        <f t="array" ref="F176">IF($B176="","",IFERROR(INDEX('02_DS_Nhan_Viec'!$E:$E,MATCH($B176,'02_DS_Nhan_Viec'!$B:$B,0)),""))</f>
      </c>
      <c r="G176" s="68">
        <f t="shared" si="1"/>
      </c>
      <c r="H176" s="68">
        <f t="shared" si="2"/>
      </c>
      <c r="I176" s="68"/>
      <c r="J176" s="61"/>
      <c r="K176" s="61"/>
      <c r="L176" s="61"/>
      <c r="M176" s="61"/>
      <c r="N176" s="61"/>
      <c r="O176" s="61"/>
      <c r="P176" s="92"/>
      <c r="Q176" s="92"/>
      <c r="R176" s="93">
        <f t="shared" si="3"/>
      </c>
      <c r="S176" s="61"/>
      <c r="T176" s="61"/>
      <c r="U176" s="61"/>
      <c r="V176" s="61"/>
      <c r="W176" s="61">
        <f t="shared" si="4"/>
      </c>
      <c r="X176" s="94">
        <f t="shared" si="5"/>
      </c>
      <c r="Y176" s="94">
        <f t="shared" si="6"/>
      </c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95"/>
      <c r="AM176" s="61"/>
      <c r="AN176" s="61"/>
      <c r="AO176" s="68"/>
      <c r="AP176" s="61"/>
      <c r="AQ176" s="61"/>
      <c r="AR176" s="61"/>
      <c r="AS176" s="61"/>
      <c r="AT176" s="61"/>
      <c r="AU176" s="61"/>
      <c r="AV176" s="92"/>
      <c r="AW176" s="92"/>
      <c r="AX176" s="93">
        <f t="shared" si="7"/>
      </c>
      <c r="AY176" s="61"/>
      <c r="AZ176" s="61"/>
      <c r="BA176" s="61"/>
      <c r="BB176" s="61"/>
      <c r="BC176" s="61">
        <f t="shared" si="11"/>
      </c>
      <c r="BD176" s="94">
        <f t="shared" si="12"/>
      </c>
      <c r="BE176" s="94">
        <f t="shared" si="13"/>
      </c>
      <c r="BF176" s="61"/>
      <c r="BG176" s="61"/>
      <c r="BH176" s="61"/>
      <c r="BI176" s="61"/>
      <c r="BJ176" s="61"/>
      <c r="BK176" s="61"/>
      <c r="BL176" s="61"/>
      <c r="BM176" s="61"/>
      <c r="BN176" s="61"/>
      <c r="BO176" s="61"/>
      <c r="BP176" s="61"/>
      <c r="BQ176" s="61"/>
      <c r="BR176" s="95"/>
      <c r="BS176" s="61"/>
      <c r="BT176" s="61"/>
    </row>
    <row r="177" ht="14.25" customHeight="1" spans="1:72" x14ac:dyDescent="0.25">
      <c r="A177" s="61">
        <f t="shared" si="0"/>
      </c>
      <c r="B177" s="61">
        <f t="array" ref="B177">IFERROR(INDEX('02_DS_Nhan_Viec'!$B:$B,MATCH(ROW()-1,'02_DS_Nhan_Viec'!$M:$M,0)),"")</f>
      </c>
      <c r="C177" s="61">
        <f t="array" ref="C177">IF($B177="","",IFERROR(INDEX('01_UngVien_PhongVan'!$D:$D,MATCH($B177,'01_UngVien_PhongVan'!$B:$B,0)),"Không tìm thấy mã ứng viên"))</f>
      </c>
      <c r="D177" s="61">
        <f t="array" ref="D177">IF($B177="","",IFERROR(INDEX('01_UngVien_PhongVan'!$R:$R,MATCH($B177,'01_UngVien_PhongVan'!$B:$B,0)),""))</f>
      </c>
      <c r="E177" s="61">
        <f t="array" ref="E177">IF($B177="","",IFERROR(INDEX('02_DS_Nhan_Viec'!$H:$H,MATCH($B177,'02_DS_Nhan_Viec'!$B:$B,0)),""))</f>
      </c>
      <c r="F177" s="68">
        <f t="array" ref="F177">IF($B177="","",IFERROR(INDEX('02_DS_Nhan_Viec'!$E:$E,MATCH($B177,'02_DS_Nhan_Viec'!$B:$B,0)),""))</f>
      </c>
      <c r="G177" s="68">
        <f t="shared" si="1"/>
      </c>
      <c r="H177" s="68">
        <f t="shared" si="2"/>
      </c>
      <c r="I177" s="68"/>
      <c r="J177" s="61"/>
      <c r="K177" s="61"/>
      <c r="L177" s="61"/>
      <c r="M177" s="61"/>
      <c r="N177" s="61"/>
      <c r="O177" s="61"/>
      <c r="P177" s="92"/>
      <c r="Q177" s="92"/>
      <c r="R177" s="93">
        <f t="shared" si="3"/>
      </c>
      <c r="S177" s="61"/>
      <c r="T177" s="61"/>
      <c r="U177" s="61"/>
      <c r="V177" s="61"/>
      <c r="W177" s="61">
        <f t="shared" si="4"/>
      </c>
      <c r="X177" s="94">
        <f t="shared" si="5"/>
      </c>
      <c r="Y177" s="94">
        <f t="shared" si="6"/>
      </c>
      <c r="Z177" s="61"/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95"/>
      <c r="AM177" s="61"/>
      <c r="AN177" s="61"/>
      <c r="AO177" s="68"/>
      <c r="AP177" s="61"/>
      <c r="AQ177" s="61"/>
      <c r="AR177" s="61"/>
      <c r="AS177" s="61"/>
      <c r="AT177" s="61"/>
      <c r="AU177" s="61"/>
      <c r="AV177" s="92"/>
      <c r="AW177" s="92"/>
      <c r="AX177" s="93">
        <f t="shared" si="7"/>
      </c>
      <c r="AY177" s="61"/>
      <c r="AZ177" s="61"/>
      <c r="BA177" s="61"/>
      <c r="BB177" s="61"/>
      <c r="BC177" s="61">
        <f t="shared" si="11"/>
      </c>
      <c r="BD177" s="94">
        <f t="shared" si="12"/>
      </c>
      <c r="BE177" s="94">
        <f t="shared" si="13"/>
      </c>
      <c r="BF177" s="61"/>
      <c r="BG177" s="61"/>
      <c r="BH177" s="61"/>
      <c r="BI177" s="61"/>
      <c r="BJ177" s="61"/>
      <c r="BK177" s="61"/>
      <c r="BL177" s="61"/>
      <c r="BM177" s="61"/>
      <c r="BN177" s="61"/>
      <c r="BO177" s="61"/>
      <c r="BP177" s="61"/>
      <c r="BQ177" s="61"/>
      <c r="BR177" s="95"/>
      <c r="BS177" s="61"/>
      <c r="BT177" s="61"/>
    </row>
    <row r="178" ht="14.25" customHeight="1" spans="1:72" x14ac:dyDescent="0.25">
      <c r="A178" s="61">
        <f t="shared" si="0"/>
      </c>
      <c r="B178" s="61">
        <f t="array" ref="B178">IFERROR(INDEX('02_DS_Nhan_Viec'!$B:$B,MATCH(ROW()-1,'02_DS_Nhan_Viec'!$M:$M,0)),"")</f>
      </c>
      <c r="C178" s="61">
        <f t="array" ref="C178">IF($B178="","",IFERROR(INDEX('01_UngVien_PhongVan'!$D:$D,MATCH($B178,'01_UngVien_PhongVan'!$B:$B,0)),"Không tìm thấy mã ứng viên"))</f>
      </c>
      <c r="D178" s="61">
        <f t="array" ref="D178">IF($B178="","",IFERROR(INDEX('01_UngVien_PhongVan'!$R:$R,MATCH($B178,'01_UngVien_PhongVan'!$B:$B,0)),""))</f>
      </c>
      <c r="E178" s="61">
        <f t="array" ref="E178">IF($B178="","",IFERROR(INDEX('02_DS_Nhan_Viec'!$H:$H,MATCH($B178,'02_DS_Nhan_Viec'!$B:$B,0)),""))</f>
      </c>
      <c r="F178" s="68">
        <f t="array" ref="F178">IF($B178="","",IFERROR(INDEX('02_DS_Nhan_Viec'!$E:$E,MATCH($B178,'02_DS_Nhan_Viec'!$B:$B,0)),""))</f>
      </c>
      <c r="G178" s="68">
        <f t="shared" si="1"/>
      </c>
      <c r="H178" s="68">
        <f t="shared" si="2"/>
      </c>
      <c r="I178" s="68"/>
      <c r="J178" s="61"/>
      <c r="K178" s="61"/>
      <c r="L178" s="61"/>
      <c r="M178" s="61"/>
      <c r="N178" s="61"/>
      <c r="O178" s="61"/>
      <c r="P178" s="92"/>
      <c r="Q178" s="92"/>
      <c r="R178" s="93">
        <f t="shared" si="3"/>
      </c>
      <c r="S178" s="61"/>
      <c r="T178" s="61"/>
      <c r="U178" s="61"/>
      <c r="V178" s="61"/>
      <c r="W178" s="61">
        <f t="shared" si="4"/>
      </c>
      <c r="X178" s="94">
        <f t="shared" si="5"/>
      </c>
      <c r="Y178" s="94">
        <f t="shared" si="6"/>
      </c>
      <c r="Z178" s="61"/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61"/>
      <c r="AL178" s="95"/>
      <c r="AM178" s="61"/>
      <c r="AN178" s="61"/>
      <c r="AO178" s="68"/>
      <c r="AP178" s="61"/>
      <c r="AQ178" s="61"/>
      <c r="AR178" s="61"/>
      <c r="AS178" s="61"/>
      <c r="AT178" s="61"/>
      <c r="AU178" s="61"/>
      <c r="AV178" s="92"/>
      <c r="AW178" s="92"/>
      <c r="AX178" s="93">
        <f t="shared" si="7"/>
      </c>
      <c r="AY178" s="61"/>
      <c r="AZ178" s="61"/>
      <c r="BA178" s="61"/>
      <c r="BB178" s="61"/>
      <c r="BC178" s="61">
        <f t="shared" si="11"/>
      </c>
      <c r="BD178" s="94">
        <f t="shared" si="12"/>
      </c>
      <c r="BE178" s="94">
        <f t="shared" si="13"/>
      </c>
      <c r="BF178" s="61"/>
      <c r="BG178" s="61"/>
      <c r="BH178" s="61"/>
      <c r="BI178" s="61"/>
      <c r="BJ178" s="61"/>
      <c r="BK178" s="61"/>
      <c r="BL178" s="61"/>
      <c r="BM178" s="61"/>
      <c r="BN178" s="61"/>
      <c r="BO178" s="61"/>
      <c r="BP178" s="61"/>
      <c r="BQ178" s="61"/>
      <c r="BR178" s="95"/>
      <c r="BS178" s="61"/>
      <c r="BT178" s="61"/>
    </row>
    <row r="179" ht="14.25" customHeight="1" spans="1:72" x14ac:dyDescent="0.25">
      <c r="A179" s="61">
        <f t="shared" si="0"/>
      </c>
      <c r="B179" s="61">
        <f t="array" ref="B179">IFERROR(INDEX('02_DS_Nhan_Viec'!$B:$B,MATCH(ROW()-1,'02_DS_Nhan_Viec'!$M:$M,0)),"")</f>
      </c>
      <c r="C179" s="61">
        <f t="array" ref="C179">IF($B179="","",IFERROR(INDEX('01_UngVien_PhongVan'!$D:$D,MATCH($B179,'01_UngVien_PhongVan'!$B:$B,0)),"Không tìm thấy mã ứng viên"))</f>
      </c>
      <c r="D179" s="61">
        <f t="array" ref="D179">IF($B179="","",IFERROR(INDEX('01_UngVien_PhongVan'!$R:$R,MATCH($B179,'01_UngVien_PhongVan'!$B:$B,0)),""))</f>
      </c>
      <c r="E179" s="61">
        <f t="array" ref="E179">IF($B179="","",IFERROR(INDEX('02_DS_Nhan_Viec'!$H:$H,MATCH($B179,'02_DS_Nhan_Viec'!$B:$B,0)),""))</f>
      </c>
      <c r="F179" s="68">
        <f t="array" ref="F179">IF($B179="","",IFERROR(INDEX('02_DS_Nhan_Viec'!$E:$E,MATCH($B179,'02_DS_Nhan_Viec'!$B:$B,0)),""))</f>
      </c>
      <c r="G179" s="68">
        <f t="shared" si="1"/>
      </c>
      <c r="H179" s="68">
        <f t="shared" si="2"/>
      </c>
      <c r="I179" s="68"/>
      <c r="J179" s="61"/>
      <c r="K179" s="61"/>
      <c r="L179" s="61"/>
      <c r="M179" s="61"/>
      <c r="N179" s="61"/>
      <c r="O179" s="61"/>
      <c r="P179" s="92"/>
      <c r="Q179" s="92"/>
      <c r="R179" s="93">
        <f t="shared" si="3"/>
      </c>
      <c r="S179" s="61"/>
      <c r="T179" s="61"/>
      <c r="U179" s="61"/>
      <c r="V179" s="61"/>
      <c r="W179" s="61">
        <f t="shared" si="4"/>
      </c>
      <c r="X179" s="94">
        <f t="shared" si="5"/>
      </c>
      <c r="Y179" s="94">
        <f t="shared" si="6"/>
      </c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95"/>
      <c r="AM179" s="61"/>
      <c r="AN179" s="61"/>
      <c r="AO179" s="68"/>
      <c r="AP179" s="61"/>
      <c r="AQ179" s="61"/>
      <c r="AR179" s="61"/>
      <c r="AS179" s="61"/>
      <c r="AT179" s="61"/>
      <c r="AU179" s="61"/>
      <c r="AV179" s="92"/>
      <c r="AW179" s="92"/>
      <c r="AX179" s="93">
        <f t="shared" si="7"/>
      </c>
      <c r="AY179" s="61"/>
      <c r="AZ179" s="61"/>
      <c r="BA179" s="61"/>
      <c r="BB179" s="61"/>
      <c r="BC179" s="61">
        <f t="shared" si="11"/>
      </c>
      <c r="BD179" s="94">
        <f t="shared" si="12"/>
      </c>
      <c r="BE179" s="94">
        <f t="shared" si="13"/>
      </c>
      <c r="BF179" s="61"/>
      <c r="BG179" s="61"/>
      <c r="BH179" s="61"/>
      <c r="BI179" s="61"/>
      <c r="BJ179" s="61"/>
      <c r="BK179" s="61"/>
      <c r="BL179" s="61"/>
      <c r="BM179" s="61"/>
      <c r="BN179" s="61"/>
      <c r="BO179" s="61"/>
      <c r="BP179" s="61"/>
      <c r="BQ179" s="61"/>
      <c r="BR179" s="95"/>
      <c r="BS179" s="61"/>
      <c r="BT179" s="61"/>
    </row>
    <row r="180" ht="14.25" customHeight="1" spans="1:72" x14ac:dyDescent="0.25">
      <c r="A180" s="61">
        <f t="shared" si="0"/>
      </c>
      <c r="B180" s="61">
        <f t="array" ref="B180">IFERROR(INDEX('02_DS_Nhan_Viec'!$B:$B,MATCH(ROW()-1,'02_DS_Nhan_Viec'!$M:$M,0)),"")</f>
      </c>
      <c r="C180" s="61">
        <f t="array" ref="C180">IF($B180="","",IFERROR(INDEX('01_UngVien_PhongVan'!$D:$D,MATCH($B180,'01_UngVien_PhongVan'!$B:$B,0)),"Không tìm thấy mã ứng viên"))</f>
      </c>
      <c r="D180" s="61">
        <f t="array" ref="D180">IF($B180="","",IFERROR(INDEX('01_UngVien_PhongVan'!$R:$R,MATCH($B180,'01_UngVien_PhongVan'!$B:$B,0)),""))</f>
      </c>
      <c r="E180" s="61">
        <f t="array" ref="E180">IF($B180="","",IFERROR(INDEX('02_DS_Nhan_Viec'!$H:$H,MATCH($B180,'02_DS_Nhan_Viec'!$B:$B,0)),""))</f>
      </c>
      <c r="F180" s="68">
        <f t="array" ref="F180">IF($B180="","",IFERROR(INDEX('02_DS_Nhan_Viec'!$E:$E,MATCH($B180,'02_DS_Nhan_Viec'!$B:$B,0)),""))</f>
      </c>
      <c r="G180" s="68">
        <f t="shared" si="1"/>
      </c>
      <c r="H180" s="68">
        <f t="shared" si="2"/>
      </c>
      <c r="I180" s="68"/>
      <c r="J180" s="61"/>
      <c r="K180" s="61"/>
      <c r="L180" s="61"/>
      <c r="M180" s="61"/>
      <c r="N180" s="61"/>
      <c r="O180" s="61"/>
      <c r="P180" s="92"/>
      <c r="Q180" s="92"/>
      <c r="R180" s="93">
        <f t="shared" si="3"/>
      </c>
      <c r="S180" s="61"/>
      <c r="T180" s="61"/>
      <c r="U180" s="61"/>
      <c r="V180" s="61"/>
      <c r="W180" s="61">
        <f t="shared" si="4"/>
      </c>
      <c r="X180" s="94">
        <f t="shared" si="5"/>
      </c>
      <c r="Y180" s="94">
        <f t="shared" si="6"/>
      </c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95"/>
      <c r="AM180" s="61"/>
      <c r="AN180" s="61"/>
      <c r="AO180" s="68"/>
      <c r="AP180" s="61"/>
      <c r="AQ180" s="61"/>
      <c r="AR180" s="61"/>
      <c r="AS180" s="61"/>
      <c r="AT180" s="61"/>
      <c r="AU180" s="61"/>
      <c r="AV180" s="92"/>
      <c r="AW180" s="92"/>
      <c r="AX180" s="93">
        <f t="shared" si="7"/>
      </c>
      <c r="AY180" s="61"/>
      <c r="AZ180" s="61"/>
      <c r="BA180" s="61"/>
      <c r="BB180" s="61"/>
      <c r="BC180" s="61">
        <f t="shared" si="11"/>
      </c>
      <c r="BD180" s="94">
        <f t="shared" si="12"/>
      </c>
      <c r="BE180" s="94">
        <f t="shared" si="13"/>
      </c>
      <c r="BF180" s="61"/>
      <c r="BG180" s="61"/>
      <c r="BH180" s="61"/>
      <c r="BI180" s="61"/>
      <c r="BJ180" s="61"/>
      <c r="BK180" s="61"/>
      <c r="BL180" s="61"/>
      <c r="BM180" s="61"/>
      <c r="BN180" s="61"/>
      <c r="BO180" s="61"/>
      <c r="BP180" s="61"/>
      <c r="BQ180" s="61"/>
      <c r="BR180" s="95"/>
      <c r="BS180" s="61"/>
      <c r="BT180" s="61"/>
    </row>
    <row r="181" ht="14.25" customHeight="1" spans="1:72" x14ac:dyDescent="0.25">
      <c r="A181" s="61">
        <f t="shared" si="0"/>
      </c>
      <c r="B181" s="61">
        <f t="array" ref="B181">IFERROR(INDEX('02_DS_Nhan_Viec'!$B:$B,MATCH(ROW()-1,'02_DS_Nhan_Viec'!$M:$M,0)),"")</f>
      </c>
      <c r="C181" s="61">
        <f t="array" ref="C181">IF($B181="","",IFERROR(INDEX('01_UngVien_PhongVan'!$D:$D,MATCH($B181,'01_UngVien_PhongVan'!$B:$B,0)),"Không tìm thấy mã ứng viên"))</f>
      </c>
      <c r="D181" s="61">
        <f t="array" ref="D181">IF($B181="","",IFERROR(INDEX('01_UngVien_PhongVan'!$R:$R,MATCH($B181,'01_UngVien_PhongVan'!$B:$B,0)),""))</f>
      </c>
      <c r="E181" s="61">
        <f t="array" ref="E181">IF($B181="","",IFERROR(INDEX('02_DS_Nhan_Viec'!$H:$H,MATCH($B181,'02_DS_Nhan_Viec'!$B:$B,0)),""))</f>
      </c>
      <c r="F181" s="68">
        <f t="array" ref="F181">IF($B181="","",IFERROR(INDEX('02_DS_Nhan_Viec'!$E:$E,MATCH($B181,'02_DS_Nhan_Viec'!$B:$B,0)),""))</f>
      </c>
      <c r="G181" s="68">
        <f t="shared" si="1"/>
      </c>
      <c r="H181" s="68">
        <f t="shared" si="2"/>
      </c>
      <c r="I181" s="68"/>
      <c r="J181" s="61"/>
      <c r="K181" s="61"/>
      <c r="L181" s="61"/>
      <c r="M181" s="61"/>
      <c r="N181" s="61"/>
      <c r="O181" s="61"/>
      <c r="P181" s="92"/>
      <c r="Q181" s="92"/>
      <c r="R181" s="93">
        <f t="shared" si="3"/>
      </c>
      <c r="S181" s="61"/>
      <c r="T181" s="61"/>
      <c r="U181" s="61"/>
      <c r="V181" s="61"/>
      <c r="W181" s="61">
        <f t="shared" si="4"/>
      </c>
      <c r="X181" s="94">
        <f t="shared" si="5"/>
      </c>
      <c r="Y181" s="94">
        <f t="shared" si="6"/>
      </c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95"/>
      <c r="AM181" s="61"/>
      <c r="AN181" s="61"/>
      <c r="AO181" s="68"/>
      <c r="AP181" s="61"/>
      <c r="AQ181" s="61"/>
      <c r="AR181" s="61"/>
      <c r="AS181" s="61"/>
      <c r="AT181" s="61"/>
      <c r="AU181" s="61"/>
      <c r="AV181" s="92"/>
      <c r="AW181" s="92"/>
      <c r="AX181" s="93">
        <f t="shared" si="7"/>
      </c>
      <c r="AY181" s="61"/>
      <c r="AZ181" s="61"/>
      <c r="BA181" s="61"/>
      <c r="BB181" s="61"/>
      <c r="BC181" s="61">
        <f t="shared" si="11"/>
      </c>
      <c r="BD181" s="94">
        <f t="shared" si="12"/>
      </c>
      <c r="BE181" s="94">
        <f t="shared" si="13"/>
      </c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95"/>
      <c r="BS181" s="61"/>
      <c r="BT181" s="61"/>
    </row>
    <row r="182" ht="14.25" customHeight="1" spans="1:72" x14ac:dyDescent="0.25">
      <c r="A182" s="61">
        <f t="shared" si="0"/>
      </c>
      <c r="B182" s="61">
        <f t="array" ref="B182">IFERROR(INDEX('02_DS_Nhan_Viec'!$B:$B,MATCH(ROW()-1,'02_DS_Nhan_Viec'!$M:$M,0)),"")</f>
      </c>
      <c r="C182" s="61">
        <f t="array" ref="C182">IF($B182="","",IFERROR(INDEX('01_UngVien_PhongVan'!$D:$D,MATCH($B182,'01_UngVien_PhongVan'!$B:$B,0)),"Không tìm thấy mã ứng viên"))</f>
      </c>
      <c r="D182" s="61">
        <f t="array" ref="D182">IF($B182="","",IFERROR(INDEX('01_UngVien_PhongVan'!$R:$R,MATCH($B182,'01_UngVien_PhongVan'!$B:$B,0)),""))</f>
      </c>
      <c r="E182" s="61">
        <f t="array" ref="E182">IF($B182="","",IFERROR(INDEX('02_DS_Nhan_Viec'!$H:$H,MATCH($B182,'02_DS_Nhan_Viec'!$B:$B,0)),""))</f>
      </c>
      <c r="F182" s="68">
        <f t="array" ref="F182">IF($B182="","",IFERROR(INDEX('02_DS_Nhan_Viec'!$E:$E,MATCH($B182,'02_DS_Nhan_Viec'!$B:$B,0)),""))</f>
      </c>
      <c r="G182" s="68">
        <f t="shared" si="1"/>
      </c>
      <c r="H182" s="68">
        <f t="shared" si="2"/>
      </c>
      <c r="I182" s="68"/>
      <c r="J182" s="61"/>
      <c r="K182" s="61"/>
      <c r="L182" s="61"/>
      <c r="M182" s="61"/>
      <c r="N182" s="61"/>
      <c r="O182" s="61"/>
      <c r="P182" s="92"/>
      <c r="Q182" s="92"/>
      <c r="R182" s="93">
        <f t="shared" si="3"/>
      </c>
      <c r="S182" s="61"/>
      <c r="T182" s="61"/>
      <c r="U182" s="61"/>
      <c r="V182" s="61"/>
      <c r="W182" s="61">
        <f t="shared" si="4"/>
      </c>
      <c r="X182" s="94">
        <f t="shared" si="5"/>
      </c>
      <c r="Y182" s="94">
        <f t="shared" si="6"/>
      </c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95"/>
      <c r="AM182" s="61"/>
      <c r="AN182" s="61"/>
      <c r="AO182" s="68"/>
      <c r="AP182" s="61"/>
      <c r="AQ182" s="61"/>
      <c r="AR182" s="61"/>
      <c r="AS182" s="61"/>
      <c r="AT182" s="61"/>
      <c r="AU182" s="61"/>
      <c r="AV182" s="92"/>
      <c r="AW182" s="92"/>
      <c r="AX182" s="93">
        <f t="shared" si="7"/>
      </c>
      <c r="AY182" s="61"/>
      <c r="AZ182" s="61"/>
      <c r="BA182" s="61"/>
      <c r="BB182" s="61"/>
      <c r="BC182" s="61">
        <f t="shared" si="11"/>
      </c>
      <c r="BD182" s="94">
        <f t="shared" si="12"/>
      </c>
      <c r="BE182" s="94">
        <f t="shared" si="13"/>
      </c>
      <c r="BF182" s="61"/>
      <c r="BG182" s="61"/>
      <c r="BH182" s="61"/>
      <c r="BI182" s="61"/>
      <c r="BJ182" s="61"/>
      <c r="BK182" s="61"/>
      <c r="BL182" s="61"/>
      <c r="BM182" s="61"/>
      <c r="BN182" s="61"/>
      <c r="BO182" s="61"/>
      <c r="BP182" s="61"/>
      <c r="BQ182" s="61"/>
      <c r="BR182" s="95"/>
      <c r="BS182" s="61"/>
      <c r="BT182" s="61"/>
    </row>
    <row r="183" ht="14.25" customHeight="1" spans="1:72" x14ac:dyDescent="0.25">
      <c r="A183" s="61">
        <f t="shared" si="0"/>
      </c>
      <c r="B183" s="61">
        <f t="array" ref="B183">IFERROR(INDEX('02_DS_Nhan_Viec'!$B:$B,MATCH(ROW()-1,'02_DS_Nhan_Viec'!$M:$M,0)),"")</f>
      </c>
      <c r="C183" s="61">
        <f t="array" ref="C183">IF($B183="","",IFERROR(INDEX('01_UngVien_PhongVan'!$D:$D,MATCH($B183,'01_UngVien_PhongVan'!$B:$B,0)),"Không tìm thấy mã ứng viên"))</f>
      </c>
      <c r="D183" s="61">
        <f t="array" ref="D183">IF($B183="","",IFERROR(INDEX('01_UngVien_PhongVan'!$R:$R,MATCH($B183,'01_UngVien_PhongVan'!$B:$B,0)),""))</f>
      </c>
      <c r="E183" s="61">
        <f t="array" ref="E183">IF($B183="","",IFERROR(INDEX('02_DS_Nhan_Viec'!$H:$H,MATCH($B183,'02_DS_Nhan_Viec'!$B:$B,0)),""))</f>
      </c>
      <c r="F183" s="68">
        <f t="array" ref="F183">IF($B183="","",IFERROR(INDEX('02_DS_Nhan_Viec'!$E:$E,MATCH($B183,'02_DS_Nhan_Viec'!$B:$B,0)),""))</f>
      </c>
      <c r="G183" s="68">
        <f t="shared" si="1"/>
      </c>
      <c r="H183" s="68">
        <f t="shared" si="2"/>
      </c>
      <c r="I183" s="68"/>
      <c r="J183" s="61"/>
      <c r="K183" s="61"/>
      <c r="L183" s="61"/>
      <c r="M183" s="61"/>
      <c r="N183" s="61"/>
      <c r="O183" s="61"/>
      <c r="P183" s="92"/>
      <c r="Q183" s="92"/>
      <c r="R183" s="93">
        <f t="shared" si="3"/>
      </c>
      <c r="S183" s="61"/>
      <c r="T183" s="61"/>
      <c r="U183" s="61"/>
      <c r="V183" s="61"/>
      <c r="W183" s="61">
        <f t="shared" si="4"/>
      </c>
      <c r="X183" s="94">
        <f t="shared" si="5"/>
      </c>
      <c r="Y183" s="94">
        <f t="shared" si="6"/>
      </c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95"/>
      <c r="AM183" s="61"/>
      <c r="AN183" s="61"/>
      <c r="AO183" s="68"/>
      <c r="AP183" s="61"/>
      <c r="AQ183" s="61"/>
      <c r="AR183" s="61"/>
      <c r="AS183" s="61"/>
      <c r="AT183" s="61"/>
      <c r="AU183" s="61"/>
      <c r="AV183" s="92"/>
      <c r="AW183" s="92"/>
      <c r="AX183" s="93">
        <f t="shared" si="7"/>
      </c>
      <c r="AY183" s="61"/>
      <c r="AZ183" s="61"/>
      <c r="BA183" s="61"/>
      <c r="BB183" s="61"/>
      <c r="BC183" s="61">
        <f t="shared" si="11"/>
      </c>
      <c r="BD183" s="94">
        <f t="shared" si="12"/>
      </c>
      <c r="BE183" s="94">
        <f t="shared" si="13"/>
      </c>
      <c r="BF183" s="61"/>
      <c r="BG183" s="61"/>
      <c r="BH183" s="61"/>
      <c r="BI183" s="61"/>
      <c r="BJ183" s="61"/>
      <c r="BK183" s="61"/>
      <c r="BL183" s="61"/>
      <c r="BM183" s="61"/>
      <c r="BN183" s="61"/>
      <c r="BO183" s="61"/>
      <c r="BP183" s="61"/>
      <c r="BQ183" s="61"/>
      <c r="BR183" s="95"/>
      <c r="BS183" s="61"/>
      <c r="BT183" s="61"/>
    </row>
    <row r="184" ht="14.25" customHeight="1" spans="1:72" x14ac:dyDescent="0.25">
      <c r="A184" s="61">
        <f t="shared" si="0"/>
      </c>
      <c r="B184" s="61">
        <f t="array" ref="B184">IFERROR(INDEX('02_DS_Nhan_Viec'!$B:$B,MATCH(ROW()-1,'02_DS_Nhan_Viec'!$M:$M,0)),"")</f>
      </c>
      <c r="C184" s="61">
        <f t="array" ref="C184">IF($B184="","",IFERROR(INDEX('01_UngVien_PhongVan'!$D:$D,MATCH($B184,'01_UngVien_PhongVan'!$B:$B,0)),"Không tìm thấy mã ứng viên"))</f>
      </c>
      <c r="D184" s="61">
        <f t="array" ref="D184">IF($B184="","",IFERROR(INDEX('01_UngVien_PhongVan'!$R:$R,MATCH($B184,'01_UngVien_PhongVan'!$B:$B,0)),""))</f>
      </c>
      <c r="E184" s="61">
        <f t="array" ref="E184">IF($B184="","",IFERROR(INDEX('02_DS_Nhan_Viec'!$H:$H,MATCH($B184,'02_DS_Nhan_Viec'!$B:$B,0)),""))</f>
      </c>
      <c r="F184" s="68">
        <f t="array" ref="F184">IF($B184="","",IFERROR(INDEX('02_DS_Nhan_Viec'!$E:$E,MATCH($B184,'02_DS_Nhan_Viec'!$B:$B,0)),""))</f>
      </c>
      <c r="G184" s="68">
        <f t="shared" si="1"/>
      </c>
      <c r="H184" s="68">
        <f t="shared" si="2"/>
      </c>
      <c r="I184" s="68"/>
      <c r="J184" s="61"/>
      <c r="K184" s="61"/>
      <c r="L184" s="61"/>
      <c r="M184" s="61"/>
      <c r="N184" s="61"/>
      <c r="O184" s="61"/>
      <c r="P184" s="92"/>
      <c r="Q184" s="92"/>
      <c r="R184" s="93">
        <f t="shared" si="3"/>
      </c>
      <c r="S184" s="61"/>
      <c r="T184" s="61"/>
      <c r="U184" s="61"/>
      <c r="V184" s="61"/>
      <c r="W184" s="61">
        <f t="shared" si="4"/>
      </c>
      <c r="X184" s="94">
        <f t="shared" si="5"/>
      </c>
      <c r="Y184" s="94">
        <f t="shared" si="6"/>
      </c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95"/>
      <c r="AM184" s="61"/>
      <c r="AN184" s="61"/>
      <c r="AO184" s="68"/>
      <c r="AP184" s="61"/>
      <c r="AQ184" s="61"/>
      <c r="AR184" s="61"/>
      <c r="AS184" s="61"/>
      <c r="AT184" s="61"/>
      <c r="AU184" s="61"/>
      <c r="AV184" s="92"/>
      <c r="AW184" s="92"/>
      <c r="AX184" s="93">
        <f t="shared" si="7"/>
      </c>
      <c r="AY184" s="61"/>
      <c r="AZ184" s="61"/>
      <c r="BA184" s="61"/>
      <c r="BB184" s="61"/>
      <c r="BC184" s="61">
        <f t="shared" si="11"/>
      </c>
      <c r="BD184" s="94">
        <f t="shared" si="12"/>
      </c>
      <c r="BE184" s="94">
        <f t="shared" si="13"/>
      </c>
      <c r="BF184" s="61"/>
      <c r="BG184" s="61"/>
      <c r="BH184" s="61"/>
      <c r="BI184" s="61"/>
      <c r="BJ184" s="61"/>
      <c r="BK184" s="61"/>
      <c r="BL184" s="61"/>
      <c r="BM184" s="61"/>
      <c r="BN184" s="61"/>
      <c r="BO184" s="61"/>
      <c r="BP184" s="61"/>
      <c r="BQ184" s="61"/>
      <c r="BR184" s="95"/>
      <c r="BS184" s="61"/>
      <c r="BT184" s="61"/>
    </row>
    <row r="185" ht="14.25" customHeight="1" spans="1:72" x14ac:dyDescent="0.25">
      <c r="A185" s="61">
        <f t="shared" si="0"/>
      </c>
      <c r="B185" s="61">
        <f t="array" ref="B185">IFERROR(INDEX('02_DS_Nhan_Viec'!$B:$B,MATCH(ROW()-1,'02_DS_Nhan_Viec'!$M:$M,0)),"")</f>
      </c>
      <c r="C185" s="61">
        <f t="array" ref="C185">IF($B185="","",IFERROR(INDEX('01_UngVien_PhongVan'!$D:$D,MATCH($B185,'01_UngVien_PhongVan'!$B:$B,0)),"Không tìm thấy mã ứng viên"))</f>
      </c>
      <c r="D185" s="61">
        <f t="array" ref="D185">IF($B185="","",IFERROR(INDEX('01_UngVien_PhongVan'!$R:$R,MATCH($B185,'01_UngVien_PhongVan'!$B:$B,0)),""))</f>
      </c>
      <c r="E185" s="61">
        <f t="array" ref="E185">IF($B185="","",IFERROR(INDEX('02_DS_Nhan_Viec'!$H:$H,MATCH($B185,'02_DS_Nhan_Viec'!$B:$B,0)),""))</f>
      </c>
      <c r="F185" s="68">
        <f t="array" ref="F185">IF($B185="","",IFERROR(INDEX('02_DS_Nhan_Viec'!$E:$E,MATCH($B185,'02_DS_Nhan_Viec'!$B:$B,0)),""))</f>
      </c>
      <c r="G185" s="68">
        <f t="shared" si="1"/>
      </c>
      <c r="H185" s="68">
        <f t="shared" si="2"/>
      </c>
      <c r="I185" s="68"/>
      <c r="J185" s="61"/>
      <c r="K185" s="61"/>
      <c r="L185" s="61"/>
      <c r="M185" s="61"/>
      <c r="N185" s="61"/>
      <c r="O185" s="61"/>
      <c r="P185" s="92"/>
      <c r="Q185" s="92"/>
      <c r="R185" s="93">
        <f t="shared" si="3"/>
      </c>
      <c r="S185" s="61"/>
      <c r="T185" s="61"/>
      <c r="U185" s="61"/>
      <c r="V185" s="61"/>
      <c r="W185" s="61">
        <f t="shared" si="4"/>
      </c>
      <c r="X185" s="94">
        <f t="shared" si="5"/>
      </c>
      <c r="Y185" s="94">
        <f t="shared" si="6"/>
      </c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95"/>
      <c r="AM185" s="61"/>
      <c r="AN185" s="61"/>
      <c r="AO185" s="68"/>
      <c r="AP185" s="61"/>
      <c r="AQ185" s="61"/>
      <c r="AR185" s="61"/>
      <c r="AS185" s="61"/>
      <c r="AT185" s="61"/>
      <c r="AU185" s="61"/>
      <c r="AV185" s="92"/>
      <c r="AW185" s="92"/>
      <c r="AX185" s="93">
        <f t="shared" si="7"/>
      </c>
      <c r="AY185" s="61"/>
      <c r="AZ185" s="61"/>
      <c r="BA185" s="61"/>
      <c r="BB185" s="61"/>
      <c r="BC185" s="61">
        <f t="shared" si="11"/>
      </c>
      <c r="BD185" s="94">
        <f t="shared" si="12"/>
      </c>
      <c r="BE185" s="94">
        <f t="shared" si="13"/>
      </c>
      <c r="BF185" s="61"/>
      <c r="BG185" s="61"/>
      <c r="BH185" s="61"/>
      <c r="BI185" s="61"/>
      <c r="BJ185" s="61"/>
      <c r="BK185" s="61"/>
      <c r="BL185" s="61"/>
      <c r="BM185" s="61"/>
      <c r="BN185" s="61"/>
      <c r="BO185" s="61"/>
      <c r="BP185" s="61"/>
      <c r="BQ185" s="61"/>
      <c r="BR185" s="95"/>
      <c r="BS185" s="61"/>
      <c r="BT185" s="61"/>
    </row>
    <row r="186" ht="14.25" customHeight="1" spans="1:72" x14ac:dyDescent="0.25">
      <c r="A186" s="61">
        <f t="shared" si="0"/>
      </c>
      <c r="B186" s="61">
        <f t="array" ref="B186">IFERROR(INDEX('02_DS_Nhan_Viec'!$B:$B,MATCH(ROW()-1,'02_DS_Nhan_Viec'!$M:$M,0)),"")</f>
      </c>
      <c r="C186" s="61">
        <f t="array" ref="C186">IF($B186="","",IFERROR(INDEX('01_UngVien_PhongVan'!$D:$D,MATCH($B186,'01_UngVien_PhongVan'!$B:$B,0)),"Không tìm thấy mã ứng viên"))</f>
      </c>
      <c r="D186" s="61">
        <f t="array" ref="D186">IF($B186="","",IFERROR(INDEX('01_UngVien_PhongVan'!$R:$R,MATCH($B186,'01_UngVien_PhongVan'!$B:$B,0)),""))</f>
      </c>
      <c r="E186" s="61">
        <f t="array" ref="E186">IF($B186="","",IFERROR(INDEX('02_DS_Nhan_Viec'!$H:$H,MATCH($B186,'02_DS_Nhan_Viec'!$B:$B,0)),""))</f>
      </c>
      <c r="F186" s="68">
        <f t="array" ref="F186">IF($B186="","",IFERROR(INDEX('02_DS_Nhan_Viec'!$E:$E,MATCH($B186,'02_DS_Nhan_Viec'!$B:$B,0)),""))</f>
      </c>
      <c r="G186" s="68">
        <f t="shared" si="1"/>
      </c>
      <c r="H186" s="68">
        <f t="shared" si="2"/>
      </c>
      <c r="I186" s="68"/>
      <c r="J186" s="61"/>
      <c r="K186" s="61"/>
      <c r="L186" s="61"/>
      <c r="M186" s="61"/>
      <c r="N186" s="61"/>
      <c r="O186" s="61"/>
      <c r="P186" s="92"/>
      <c r="Q186" s="92"/>
      <c r="R186" s="93">
        <f t="shared" si="3"/>
      </c>
      <c r="S186" s="61"/>
      <c r="T186" s="61"/>
      <c r="U186" s="61"/>
      <c r="V186" s="61"/>
      <c r="W186" s="61">
        <f t="shared" si="4"/>
      </c>
      <c r="X186" s="94">
        <f t="shared" si="5"/>
      </c>
      <c r="Y186" s="94">
        <f t="shared" si="6"/>
      </c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95"/>
      <c r="AM186" s="61"/>
      <c r="AN186" s="61"/>
      <c r="AO186" s="68"/>
      <c r="AP186" s="61"/>
      <c r="AQ186" s="61"/>
      <c r="AR186" s="61"/>
      <c r="AS186" s="61"/>
      <c r="AT186" s="61"/>
      <c r="AU186" s="61"/>
      <c r="AV186" s="92"/>
      <c r="AW186" s="92"/>
      <c r="AX186" s="93">
        <f t="shared" si="7"/>
      </c>
      <c r="AY186" s="61"/>
      <c r="AZ186" s="61"/>
      <c r="BA186" s="61"/>
      <c r="BB186" s="61"/>
      <c r="BC186" s="61">
        <f t="shared" si="11"/>
      </c>
      <c r="BD186" s="94">
        <f t="shared" si="12"/>
      </c>
      <c r="BE186" s="94">
        <f t="shared" si="13"/>
      </c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95"/>
      <c r="BS186" s="61"/>
      <c r="BT186" s="61"/>
    </row>
    <row r="187" ht="14.25" customHeight="1" spans="1:72" x14ac:dyDescent="0.25">
      <c r="A187" s="61">
        <f t="shared" si="0"/>
      </c>
      <c r="B187" s="61">
        <f t="array" ref="B187">IFERROR(INDEX('02_DS_Nhan_Viec'!$B:$B,MATCH(ROW()-1,'02_DS_Nhan_Viec'!$M:$M,0)),"")</f>
      </c>
      <c r="C187" s="61">
        <f t="array" ref="C187">IF($B187="","",IFERROR(INDEX('01_UngVien_PhongVan'!$D:$D,MATCH($B187,'01_UngVien_PhongVan'!$B:$B,0)),"Không tìm thấy mã ứng viên"))</f>
      </c>
      <c r="D187" s="61">
        <f t="array" ref="D187">IF($B187="","",IFERROR(INDEX('01_UngVien_PhongVan'!$R:$R,MATCH($B187,'01_UngVien_PhongVan'!$B:$B,0)),""))</f>
      </c>
      <c r="E187" s="61">
        <f t="array" ref="E187">IF($B187="","",IFERROR(INDEX('02_DS_Nhan_Viec'!$H:$H,MATCH($B187,'02_DS_Nhan_Viec'!$B:$B,0)),""))</f>
      </c>
      <c r="F187" s="68">
        <f t="array" ref="F187">IF($B187="","",IFERROR(INDEX('02_DS_Nhan_Viec'!$E:$E,MATCH($B187,'02_DS_Nhan_Viec'!$B:$B,0)),""))</f>
      </c>
      <c r="G187" s="68">
        <f t="shared" si="1"/>
      </c>
      <c r="H187" s="68">
        <f t="shared" si="2"/>
      </c>
      <c r="I187" s="68"/>
      <c r="J187" s="61"/>
      <c r="K187" s="61"/>
      <c r="L187" s="61"/>
      <c r="M187" s="61"/>
      <c r="N187" s="61"/>
      <c r="O187" s="61"/>
      <c r="P187" s="92"/>
      <c r="Q187" s="92"/>
      <c r="R187" s="93">
        <f t="shared" si="3"/>
      </c>
      <c r="S187" s="61"/>
      <c r="T187" s="61"/>
      <c r="U187" s="61"/>
      <c r="V187" s="61"/>
      <c r="W187" s="61">
        <f t="shared" si="4"/>
      </c>
      <c r="X187" s="94">
        <f t="shared" si="5"/>
      </c>
      <c r="Y187" s="94">
        <f t="shared" si="6"/>
      </c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95"/>
      <c r="AM187" s="61"/>
      <c r="AN187" s="61"/>
      <c r="AO187" s="68"/>
      <c r="AP187" s="61"/>
      <c r="AQ187" s="61"/>
      <c r="AR187" s="61"/>
      <c r="AS187" s="61"/>
      <c r="AT187" s="61"/>
      <c r="AU187" s="61"/>
      <c r="AV187" s="92"/>
      <c r="AW187" s="92"/>
      <c r="AX187" s="93">
        <f t="shared" si="7"/>
      </c>
      <c r="AY187" s="61"/>
      <c r="AZ187" s="61"/>
      <c r="BA187" s="61"/>
      <c r="BB187" s="61"/>
      <c r="BC187" s="61">
        <f t="shared" si="11"/>
      </c>
      <c r="BD187" s="94">
        <f t="shared" si="12"/>
      </c>
      <c r="BE187" s="94">
        <f t="shared" si="13"/>
      </c>
      <c r="BF187" s="61"/>
      <c r="BG187" s="61"/>
      <c r="BH187" s="61"/>
      <c r="BI187" s="61"/>
      <c r="BJ187" s="61"/>
      <c r="BK187" s="61"/>
      <c r="BL187" s="61"/>
      <c r="BM187" s="61"/>
      <c r="BN187" s="61"/>
      <c r="BO187" s="61"/>
      <c r="BP187" s="61"/>
      <c r="BQ187" s="61"/>
      <c r="BR187" s="95"/>
      <c r="BS187" s="61"/>
      <c r="BT187" s="61"/>
    </row>
    <row r="188" ht="14.25" customHeight="1" spans="1:72" x14ac:dyDescent="0.25">
      <c r="A188" s="61">
        <f t="shared" si="0"/>
      </c>
      <c r="B188" s="61">
        <f t="array" ref="B188">IFERROR(INDEX('02_DS_Nhan_Viec'!$B:$B,MATCH(ROW()-1,'02_DS_Nhan_Viec'!$M:$M,0)),"")</f>
      </c>
      <c r="C188" s="61">
        <f t="array" ref="C188">IF($B188="","",IFERROR(INDEX('01_UngVien_PhongVan'!$D:$D,MATCH($B188,'01_UngVien_PhongVan'!$B:$B,0)),"Không tìm thấy mã ứng viên"))</f>
      </c>
      <c r="D188" s="61">
        <f t="array" ref="D188">IF($B188="","",IFERROR(INDEX('01_UngVien_PhongVan'!$R:$R,MATCH($B188,'01_UngVien_PhongVan'!$B:$B,0)),""))</f>
      </c>
      <c r="E188" s="61">
        <f t="array" ref="E188">IF($B188="","",IFERROR(INDEX('02_DS_Nhan_Viec'!$H:$H,MATCH($B188,'02_DS_Nhan_Viec'!$B:$B,0)),""))</f>
      </c>
      <c r="F188" s="68">
        <f t="array" ref="F188">IF($B188="","",IFERROR(INDEX('02_DS_Nhan_Viec'!$E:$E,MATCH($B188,'02_DS_Nhan_Viec'!$B:$B,0)),""))</f>
      </c>
      <c r="G188" s="68">
        <f t="shared" si="1"/>
      </c>
      <c r="H188" s="68">
        <f t="shared" si="2"/>
      </c>
      <c r="I188" s="68"/>
      <c r="J188" s="61"/>
      <c r="K188" s="61"/>
      <c r="L188" s="61"/>
      <c r="M188" s="61"/>
      <c r="N188" s="61"/>
      <c r="O188" s="61"/>
      <c r="P188" s="92"/>
      <c r="Q188" s="92"/>
      <c r="R188" s="93">
        <f t="shared" si="3"/>
      </c>
      <c r="S188" s="61"/>
      <c r="T188" s="61"/>
      <c r="U188" s="61"/>
      <c r="V188" s="61"/>
      <c r="W188" s="61">
        <f t="shared" si="4"/>
      </c>
      <c r="X188" s="94">
        <f t="shared" si="5"/>
      </c>
      <c r="Y188" s="94">
        <f t="shared" si="6"/>
      </c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95"/>
      <c r="AM188" s="61"/>
      <c r="AN188" s="61"/>
      <c r="AO188" s="68"/>
      <c r="AP188" s="61"/>
      <c r="AQ188" s="61"/>
      <c r="AR188" s="61"/>
      <c r="AS188" s="61"/>
      <c r="AT188" s="61"/>
      <c r="AU188" s="61"/>
      <c r="AV188" s="92"/>
      <c r="AW188" s="92"/>
      <c r="AX188" s="93">
        <f t="shared" si="7"/>
      </c>
      <c r="AY188" s="61"/>
      <c r="AZ188" s="61"/>
      <c r="BA188" s="61"/>
      <c r="BB188" s="61"/>
      <c r="BC188" s="61">
        <f t="shared" si="11"/>
      </c>
      <c r="BD188" s="94">
        <f t="shared" si="12"/>
      </c>
      <c r="BE188" s="94">
        <f t="shared" si="13"/>
      </c>
      <c r="BF188" s="61"/>
      <c r="BG188" s="61"/>
      <c r="BH188" s="61"/>
      <c r="BI188" s="61"/>
      <c r="BJ188" s="61"/>
      <c r="BK188" s="61"/>
      <c r="BL188" s="61"/>
      <c r="BM188" s="61"/>
      <c r="BN188" s="61"/>
      <c r="BO188" s="61"/>
      <c r="BP188" s="61"/>
      <c r="BQ188" s="61"/>
      <c r="BR188" s="95"/>
      <c r="BS188" s="61"/>
      <c r="BT188" s="61"/>
    </row>
    <row r="189" ht="14.25" customHeight="1" spans="1:72" x14ac:dyDescent="0.25">
      <c r="A189" s="61">
        <f t="shared" si="0"/>
      </c>
      <c r="B189" s="61">
        <f t="array" ref="B189">IFERROR(INDEX('02_DS_Nhan_Viec'!$B:$B,MATCH(ROW()-1,'02_DS_Nhan_Viec'!$M:$M,0)),"")</f>
      </c>
      <c r="C189" s="61">
        <f t="array" ref="C189">IF($B189="","",IFERROR(INDEX('01_UngVien_PhongVan'!$D:$D,MATCH($B189,'01_UngVien_PhongVan'!$B:$B,0)),"Không tìm thấy mã ứng viên"))</f>
      </c>
      <c r="D189" s="61">
        <f t="array" ref="D189">IF($B189="","",IFERROR(INDEX('01_UngVien_PhongVan'!$R:$R,MATCH($B189,'01_UngVien_PhongVan'!$B:$B,0)),""))</f>
      </c>
      <c r="E189" s="61">
        <f t="array" ref="E189">IF($B189="","",IFERROR(INDEX('02_DS_Nhan_Viec'!$H:$H,MATCH($B189,'02_DS_Nhan_Viec'!$B:$B,0)),""))</f>
      </c>
      <c r="F189" s="68">
        <f t="array" ref="F189">IF($B189="","",IFERROR(INDEX('02_DS_Nhan_Viec'!$E:$E,MATCH($B189,'02_DS_Nhan_Viec'!$B:$B,0)),""))</f>
      </c>
      <c r="G189" s="68">
        <f t="shared" si="1"/>
      </c>
      <c r="H189" s="68">
        <f t="shared" si="2"/>
      </c>
      <c r="I189" s="68"/>
      <c r="J189" s="61"/>
      <c r="K189" s="61"/>
      <c r="L189" s="61"/>
      <c r="M189" s="61"/>
      <c r="N189" s="61"/>
      <c r="O189" s="61"/>
      <c r="P189" s="92"/>
      <c r="Q189" s="92"/>
      <c r="R189" s="93">
        <f t="shared" si="3"/>
      </c>
      <c r="S189" s="61"/>
      <c r="T189" s="61"/>
      <c r="U189" s="61"/>
      <c r="V189" s="61"/>
      <c r="W189" s="61">
        <f t="shared" si="4"/>
      </c>
      <c r="X189" s="94">
        <f t="shared" si="5"/>
      </c>
      <c r="Y189" s="94">
        <f t="shared" si="6"/>
      </c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95"/>
      <c r="AM189" s="61"/>
      <c r="AN189" s="61"/>
      <c r="AO189" s="68"/>
      <c r="AP189" s="61"/>
      <c r="AQ189" s="61"/>
      <c r="AR189" s="61"/>
      <c r="AS189" s="61"/>
      <c r="AT189" s="61"/>
      <c r="AU189" s="61"/>
      <c r="AV189" s="92"/>
      <c r="AW189" s="92"/>
      <c r="AX189" s="93">
        <f t="shared" si="7"/>
      </c>
      <c r="AY189" s="61"/>
      <c r="AZ189" s="61"/>
      <c r="BA189" s="61"/>
      <c r="BB189" s="61"/>
      <c r="BC189" s="61">
        <f t="shared" si="11"/>
      </c>
      <c r="BD189" s="94">
        <f t="shared" si="12"/>
      </c>
      <c r="BE189" s="94">
        <f t="shared" si="13"/>
      </c>
      <c r="BF189" s="61"/>
      <c r="BG189" s="61"/>
      <c r="BH189" s="61"/>
      <c r="BI189" s="61"/>
      <c r="BJ189" s="61"/>
      <c r="BK189" s="61"/>
      <c r="BL189" s="61"/>
      <c r="BM189" s="61"/>
      <c r="BN189" s="61"/>
      <c r="BO189" s="61"/>
      <c r="BP189" s="61"/>
      <c r="BQ189" s="61"/>
      <c r="BR189" s="95"/>
      <c r="BS189" s="61"/>
      <c r="BT189" s="61"/>
    </row>
    <row r="190" ht="14.25" customHeight="1" spans="1:72" x14ac:dyDescent="0.25">
      <c r="A190" s="61">
        <f t="shared" si="0"/>
      </c>
      <c r="B190" s="61">
        <f t="array" ref="B190">IFERROR(INDEX('02_DS_Nhan_Viec'!$B:$B,MATCH(ROW()-1,'02_DS_Nhan_Viec'!$M:$M,0)),"")</f>
      </c>
      <c r="C190" s="61">
        <f t="array" ref="C190">IF($B190="","",IFERROR(INDEX('01_UngVien_PhongVan'!$D:$D,MATCH($B190,'01_UngVien_PhongVan'!$B:$B,0)),"Không tìm thấy mã ứng viên"))</f>
      </c>
      <c r="D190" s="61">
        <f t="array" ref="D190">IF($B190="","",IFERROR(INDEX('01_UngVien_PhongVan'!$R:$R,MATCH($B190,'01_UngVien_PhongVan'!$B:$B,0)),""))</f>
      </c>
      <c r="E190" s="61">
        <f t="array" ref="E190">IF($B190="","",IFERROR(INDEX('02_DS_Nhan_Viec'!$H:$H,MATCH($B190,'02_DS_Nhan_Viec'!$B:$B,0)),""))</f>
      </c>
      <c r="F190" s="68">
        <f t="array" ref="F190">IF($B190="","",IFERROR(INDEX('02_DS_Nhan_Viec'!$E:$E,MATCH($B190,'02_DS_Nhan_Viec'!$B:$B,0)),""))</f>
      </c>
      <c r="G190" s="68">
        <f t="shared" si="1"/>
      </c>
      <c r="H190" s="68">
        <f t="shared" si="2"/>
      </c>
      <c r="I190" s="68"/>
      <c r="J190" s="61"/>
      <c r="K190" s="61"/>
      <c r="L190" s="61"/>
      <c r="M190" s="61"/>
      <c r="N190" s="61"/>
      <c r="O190" s="61"/>
      <c r="P190" s="92"/>
      <c r="Q190" s="92"/>
      <c r="R190" s="93">
        <f t="shared" si="3"/>
      </c>
      <c r="S190" s="61"/>
      <c r="T190" s="61"/>
      <c r="U190" s="61"/>
      <c r="V190" s="61"/>
      <c r="W190" s="61">
        <f t="shared" si="4"/>
      </c>
      <c r="X190" s="94">
        <f t="shared" si="5"/>
      </c>
      <c r="Y190" s="94">
        <f t="shared" si="6"/>
      </c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95"/>
      <c r="AM190" s="61"/>
      <c r="AN190" s="61"/>
      <c r="AO190" s="68"/>
      <c r="AP190" s="61"/>
      <c r="AQ190" s="61"/>
      <c r="AR190" s="61"/>
      <c r="AS190" s="61"/>
      <c r="AT190" s="61"/>
      <c r="AU190" s="61"/>
      <c r="AV190" s="92"/>
      <c r="AW190" s="92"/>
      <c r="AX190" s="93">
        <f t="shared" si="7"/>
      </c>
      <c r="AY190" s="61"/>
      <c r="AZ190" s="61"/>
      <c r="BA190" s="61"/>
      <c r="BB190" s="61"/>
      <c r="BC190" s="61">
        <f t="shared" si="11"/>
      </c>
      <c r="BD190" s="94">
        <f t="shared" si="12"/>
      </c>
      <c r="BE190" s="94">
        <f t="shared" si="13"/>
      </c>
      <c r="BF190" s="61"/>
      <c r="BG190" s="61"/>
      <c r="BH190" s="61"/>
      <c r="BI190" s="61"/>
      <c r="BJ190" s="61"/>
      <c r="BK190" s="61"/>
      <c r="BL190" s="61"/>
      <c r="BM190" s="61"/>
      <c r="BN190" s="61"/>
      <c r="BO190" s="61"/>
      <c r="BP190" s="61"/>
      <c r="BQ190" s="61"/>
      <c r="BR190" s="95"/>
      <c r="BS190" s="61"/>
      <c r="BT190" s="61"/>
    </row>
    <row r="191" ht="14.25" customHeight="1" spans="1:72" x14ac:dyDescent="0.25">
      <c r="A191" s="61">
        <f t="shared" si="0"/>
      </c>
      <c r="B191" s="61">
        <f t="array" ref="B191">IFERROR(INDEX('02_DS_Nhan_Viec'!$B:$B,MATCH(ROW()-1,'02_DS_Nhan_Viec'!$M:$M,0)),"")</f>
      </c>
      <c r="C191" s="61">
        <f t="array" ref="C191">IF($B191="","",IFERROR(INDEX('01_UngVien_PhongVan'!$D:$D,MATCH($B191,'01_UngVien_PhongVan'!$B:$B,0)),"Không tìm thấy mã ứng viên"))</f>
      </c>
      <c r="D191" s="61">
        <f t="array" ref="D191">IF($B191="","",IFERROR(INDEX('01_UngVien_PhongVan'!$R:$R,MATCH($B191,'01_UngVien_PhongVan'!$B:$B,0)),""))</f>
      </c>
      <c r="E191" s="61">
        <f t="array" ref="E191">IF($B191="","",IFERROR(INDEX('02_DS_Nhan_Viec'!$H:$H,MATCH($B191,'02_DS_Nhan_Viec'!$B:$B,0)),""))</f>
      </c>
      <c r="F191" s="68">
        <f t="array" ref="F191">IF($B191="","",IFERROR(INDEX('02_DS_Nhan_Viec'!$E:$E,MATCH($B191,'02_DS_Nhan_Viec'!$B:$B,0)),""))</f>
      </c>
      <c r="G191" s="68">
        <f t="shared" si="1"/>
      </c>
      <c r="H191" s="68">
        <f t="shared" si="2"/>
      </c>
      <c r="I191" s="68"/>
      <c r="J191" s="61"/>
      <c r="K191" s="61"/>
      <c r="L191" s="61"/>
      <c r="M191" s="61"/>
      <c r="N191" s="61"/>
      <c r="O191" s="61"/>
      <c r="P191" s="92"/>
      <c r="Q191" s="92"/>
      <c r="R191" s="93">
        <f t="shared" si="3"/>
      </c>
      <c r="S191" s="61"/>
      <c r="T191" s="61"/>
      <c r="U191" s="61"/>
      <c r="V191" s="61"/>
      <c r="W191" s="61">
        <f t="shared" si="4"/>
      </c>
      <c r="X191" s="94">
        <f t="shared" si="5"/>
      </c>
      <c r="Y191" s="94">
        <f t="shared" si="6"/>
      </c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95"/>
      <c r="AM191" s="61"/>
      <c r="AN191" s="61"/>
      <c r="AO191" s="68"/>
      <c r="AP191" s="61"/>
      <c r="AQ191" s="61"/>
      <c r="AR191" s="61"/>
      <c r="AS191" s="61"/>
      <c r="AT191" s="61"/>
      <c r="AU191" s="61"/>
      <c r="AV191" s="92"/>
      <c r="AW191" s="92"/>
      <c r="AX191" s="93">
        <f t="shared" si="7"/>
      </c>
      <c r="AY191" s="61"/>
      <c r="AZ191" s="61"/>
      <c r="BA191" s="61"/>
      <c r="BB191" s="61"/>
      <c r="BC191" s="61">
        <f t="shared" si="11"/>
      </c>
      <c r="BD191" s="94">
        <f t="shared" si="12"/>
      </c>
      <c r="BE191" s="94">
        <f t="shared" si="13"/>
      </c>
      <c r="BF191" s="61"/>
      <c r="BG191" s="61"/>
      <c r="BH191" s="61"/>
      <c r="BI191" s="61"/>
      <c r="BJ191" s="61"/>
      <c r="BK191" s="61"/>
      <c r="BL191" s="61"/>
      <c r="BM191" s="61"/>
      <c r="BN191" s="61"/>
      <c r="BO191" s="61"/>
      <c r="BP191" s="61"/>
      <c r="BQ191" s="61"/>
      <c r="BR191" s="95"/>
      <c r="BS191" s="61"/>
      <c r="BT191" s="61"/>
    </row>
    <row r="192" ht="14.25" customHeight="1" spans="1:72" x14ac:dyDescent="0.25">
      <c r="A192" s="61">
        <f t="shared" si="0"/>
      </c>
      <c r="B192" s="61">
        <f t="array" ref="B192">IFERROR(INDEX('02_DS_Nhan_Viec'!$B:$B,MATCH(ROW()-1,'02_DS_Nhan_Viec'!$M:$M,0)),"")</f>
      </c>
      <c r="C192" s="61">
        <f t="array" ref="C192">IF($B192="","",IFERROR(INDEX('01_UngVien_PhongVan'!$D:$D,MATCH($B192,'01_UngVien_PhongVan'!$B:$B,0)),"Không tìm thấy mã ứng viên"))</f>
      </c>
      <c r="D192" s="61">
        <f t="array" ref="D192">IF($B192="","",IFERROR(INDEX('01_UngVien_PhongVan'!$R:$R,MATCH($B192,'01_UngVien_PhongVan'!$B:$B,0)),""))</f>
      </c>
      <c r="E192" s="61">
        <f t="array" ref="E192">IF($B192="","",IFERROR(INDEX('02_DS_Nhan_Viec'!$H:$H,MATCH($B192,'02_DS_Nhan_Viec'!$B:$B,0)),""))</f>
      </c>
      <c r="F192" s="68">
        <f t="array" ref="F192">IF($B192="","",IFERROR(INDEX('02_DS_Nhan_Viec'!$E:$E,MATCH($B192,'02_DS_Nhan_Viec'!$B:$B,0)),""))</f>
      </c>
      <c r="G192" s="68">
        <f t="shared" si="1"/>
      </c>
      <c r="H192" s="68">
        <f t="shared" si="2"/>
      </c>
      <c r="I192" s="68"/>
      <c r="J192" s="61"/>
      <c r="K192" s="61"/>
      <c r="L192" s="61"/>
      <c r="M192" s="61"/>
      <c r="N192" s="61"/>
      <c r="O192" s="61"/>
      <c r="P192" s="92"/>
      <c r="Q192" s="92"/>
      <c r="R192" s="93">
        <f t="shared" si="3"/>
      </c>
      <c r="S192" s="61"/>
      <c r="T192" s="61"/>
      <c r="U192" s="61"/>
      <c r="V192" s="61"/>
      <c r="W192" s="61">
        <f t="shared" si="4"/>
      </c>
      <c r="X192" s="94">
        <f t="shared" si="5"/>
      </c>
      <c r="Y192" s="94">
        <f t="shared" si="6"/>
      </c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95"/>
      <c r="AM192" s="61"/>
      <c r="AN192" s="61"/>
      <c r="AO192" s="68"/>
      <c r="AP192" s="61"/>
      <c r="AQ192" s="61"/>
      <c r="AR192" s="61"/>
      <c r="AS192" s="61"/>
      <c r="AT192" s="61"/>
      <c r="AU192" s="61"/>
      <c r="AV192" s="92"/>
      <c r="AW192" s="92"/>
      <c r="AX192" s="93">
        <f t="shared" si="7"/>
      </c>
      <c r="AY192" s="61"/>
      <c r="AZ192" s="61"/>
      <c r="BA192" s="61"/>
      <c r="BB192" s="61"/>
      <c r="BC192" s="61">
        <f t="shared" si="11"/>
      </c>
      <c r="BD192" s="94">
        <f t="shared" si="12"/>
      </c>
      <c r="BE192" s="94">
        <f t="shared" si="13"/>
      </c>
      <c r="BF192" s="61"/>
      <c r="BG192" s="61"/>
      <c r="BH192" s="61"/>
      <c r="BI192" s="61"/>
      <c r="BJ192" s="61"/>
      <c r="BK192" s="61"/>
      <c r="BL192" s="61"/>
      <c r="BM192" s="61"/>
      <c r="BN192" s="61"/>
      <c r="BO192" s="61"/>
      <c r="BP192" s="61"/>
      <c r="BQ192" s="61"/>
      <c r="BR192" s="95"/>
      <c r="BS192" s="61"/>
      <c r="BT192" s="61"/>
    </row>
    <row r="193" ht="14.25" customHeight="1" spans="1:72" x14ac:dyDescent="0.25">
      <c r="A193" s="61">
        <f t="shared" si="0"/>
      </c>
      <c r="B193" s="61">
        <f t="array" ref="B193">IFERROR(INDEX('02_DS_Nhan_Viec'!$B:$B,MATCH(ROW()-1,'02_DS_Nhan_Viec'!$M:$M,0)),"")</f>
      </c>
      <c r="C193" s="61">
        <f t="array" ref="C193">IF($B193="","",IFERROR(INDEX('01_UngVien_PhongVan'!$D:$D,MATCH($B193,'01_UngVien_PhongVan'!$B:$B,0)),"Không tìm thấy mã ứng viên"))</f>
      </c>
      <c r="D193" s="61">
        <f t="array" ref="D193">IF($B193="","",IFERROR(INDEX('01_UngVien_PhongVan'!$R:$R,MATCH($B193,'01_UngVien_PhongVan'!$B:$B,0)),""))</f>
      </c>
      <c r="E193" s="61">
        <f t="array" ref="E193">IF($B193="","",IFERROR(INDEX('02_DS_Nhan_Viec'!$H:$H,MATCH($B193,'02_DS_Nhan_Viec'!$B:$B,0)),""))</f>
      </c>
      <c r="F193" s="68">
        <f t="array" ref="F193">IF($B193="","",IFERROR(INDEX('02_DS_Nhan_Viec'!$E:$E,MATCH($B193,'02_DS_Nhan_Viec'!$B:$B,0)),""))</f>
      </c>
      <c r="G193" s="68">
        <f t="shared" si="1"/>
      </c>
      <c r="H193" s="68">
        <f t="shared" si="2"/>
      </c>
      <c r="I193" s="68"/>
      <c r="J193" s="61"/>
      <c r="K193" s="61"/>
      <c r="L193" s="61"/>
      <c r="M193" s="61"/>
      <c r="N193" s="61"/>
      <c r="O193" s="61"/>
      <c r="P193" s="92"/>
      <c r="Q193" s="92"/>
      <c r="R193" s="93">
        <f t="shared" si="3"/>
      </c>
      <c r="S193" s="61"/>
      <c r="T193" s="61"/>
      <c r="U193" s="61"/>
      <c r="V193" s="61"/>
      <c r="W193" s="61">
        <f t="shared" si="4"/>
      </c>
      <c r="X193" s="94">
        <f t="shared" si="5"/>
      </c>
      <c r="Y193" s="94">
        <f t="shared" si="6"/>
      </c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95"/>
      <c r="AM193" s="61"/>
      <c r="AN193" s="61"/>
      <c r="AO193" s="68"/>
      <c r="AP193" s="61"/>
      <c r="AQ193" s="61"/>
      <c r="AR193" s="61"/>
      <c r="AS193" s="61"/>
      <c r="AT193" s="61"/>
      <c r="AU193" s="61"/>
      <c r="AV193" s="92"/>
      <c r="AW193" s="92"/>
      <c r="AX193" s="93">
        <f t="shared" si="7"/>
      </c>
      <c r="AY193" s="61"/>
      <c r="AZ193" s="61"/>
      <c r="BA193" s="61"/>
      <c r="BB193" s="61"/>
      <c r="BC193" s="61">
        <f t="shared" si="11"/>
      </c>
      <c r="BD193" s="94">
        <f t="shared" si="12"/>
      </c>
      <c r="BE193" s="94">
        <f t="shared" si="13"/>
      </c>
      <c r="BF193" s="61"/>
      <c r="BG193" s="61"/>
      <c r="BH193" s="61"/>
      <c r="BI193" s="61"/>
      <c r="BJ193" s="61"/>
      <c r="BK193" s="61"/>
      <c r="BL193" s="61"/>
      <c r="BM193" s="61"/>
      <c r="BN193" s="61"/>
      <c r="BO193" s="61"/>
      <c r="BP193" s="61"/>
      <c r="BQ193" s="61"/>
      <c r="BR193" s="95"/>
      <c r="BS193" s="61"/>
      <c r="BT193" s="61"/>
    </row>
    <row r="194" ht="14.25" customHeight="1" spans="1:72" x14ac:dyDescent="0.25">
      <c r="A194" s="61">
        <f t="shared" si="0"/>
      </c>
      <c r="B194" s="61">
        <f t="array" ref="B194">IFERROR(INDEX('02_DS_Nhan_Viec'!$B:$B,MATCH(ROW()-1,'02_DS_Nhan_Viec'!$M:$M,0)),"")</f>
      </c>
      <c r="C194" s="61">
        <f t="array" ref="C194">IF($B194="","",IFERROR(INDEX('01_UngVien_PhongVan'!$D:$D,MATCH($B194,'01_UngVien_PhongVan'!$B:$B,0)),"Không tìm thấy mã ứng viên"))</f>
      </c>
      <c r="D194" s="61">
        <f t="array" ref="D194">IF($B194="","",IFERROR(INDEX('01_UngVien_PhongVan'!$R:$R,MATCH($B194,'01_UngVien_PhongVan'!$B:$B,0)),""))</f>
      </c>
      <c r="E194" s="61">
        <f t="array" ref="E194">IF($B194="","",IFERROR(INDEX('02_DS_Nhan_Viec'!$H:$H,MATCH($B194,'02_DS_Nhan_Viec'!$B:$B,0)),""))</f>
      </c>
      <c r="F194" s="68">
        <f t="array" ref="F194">IF($B194="","",IFERROR(INDEX('02_DS_Nhan_Viec'!$E:$E,MATCH($B194,'02_DS_Nhan_Viec'!$B:$B,0)),""))</f>
      </c>
      <c r="G194" s="68">
        <f t="shared" si="1"/>
      </c>
      <c r="H194" s="68">
        <f t="shared" si="2"/>
      </c>
      <c r="I194" s="68"/>
      <c r="J194" s="61"/>
      <c r="K194" s="61"/>
      <c r="L194" s="61"/>
      <c r="M194" s="61"/>
      <c r="N194" s="61"/>
      <c r="O194" s="61"/>
      <c r="P194" s="92"/>
      <c r="Q194" s="92"/>
      <c r="R194" s="93">
        <f t="shared" si="3"/>
      </c>
      <c r="S194" s="61"/>
      <c r="T194" s="61"/>
      <c r="U194" s="61"/>
      <c r="V194" s="61"/>
      <c r="W194" s="61">
        <f t="shared" si="4"/>
      </c>
      <c r="X194" s="94">
        <f t="shared" si="5"/>
      </c>
      <c r="Y194" s="94">
        <f t="shared" si="6"/>
      </c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95"/>
      <c r="AM194" s="61"/>
      <c r="AN194" s="61"/>
      <c r="AO194" s="68"/>
      <c r="AP194" s="61"/>
      <c r="AQ194" s="61"/>
      <c r="AR194" s="61"/>
      <c r="AS194" s="61"/>
      <c r="AT194" s="61"/>
      <c r="AU194" s="61"/>
      <c r="AV194" s="92"/>
      <c r="AW194" s="92"/>
      <c r="AX194" s="93">
        <f t="shared" si="7"/>
      </c>
      <c r="AY194" s="61"/>
      <c r="AZ194" s="61"/>
      <c r="BA194" s="61"/>
      <c r="BB194" s="61"/>
      <c r="BC194" s="61">
        <f t="shared" si="11"/>
      </c>
      <c r="BD194" s="94">
        <f t="shared" si="12"/>
      </c>
      <c r="BE194" s="94">
        <f t="shared" si="13"/>
      </c>
      <c r="BF194" s="61"/>
      <c r="BG194" s="61"/>
      <c r="BH194" s="61"/>
      <c r="BI194" s="61"/>
      <c r="BJ194" s="61"/>
      <c r="BK194" s="61"/>
      <c r="BL194" s="61"/>
      <c r="BM194" s="61"/>
      <c r="BN194" s="61"/>
      <c r="BO194" s="61"/>
      <c r="BP194" s="61"/>
      <c r="BQ194" s="61"/>
      <c r="BR194" s="95"/>
      <c r="BS194" s="61"/>
      <c r="BT194" s="61"/>
    </row>
    <row r="195" ht="14.25" customHeight="1" spans="1:72" x14ac:dyDescent="0.25">
      <c r="A195" s="61">
        <f t="shared" si="0"/>
      </c>
      <c r="B195" s="61">
        <f t="array" ref="B195">IFERROR(INDEX('02_DS_Nhan_Viec'!$B:$B,MATCH(ROW()-1,'02_DS_Nhan_Viec'!$M:$M,0)),"")</f>
      </c>
      <c r="C195" s="61">
        <f t="array" ref="C195">IF($B195="","",IFERROR(INDEX('01_UngVien_PhongVan'!$D:$D,MATCH($B195,'01_UngVien_PhongVan'!$B:$B,0)),"Không tìm thấy mã ứng viên"))</f>
      </c>
      <c r="D195" s="61">
        <f t="array" ref="D195">IF($B195="","",IFERROR(INDEX('01_UngVien_PhongVan'!$R:$R,MATCH($B195,'01_UngVien_PhongVan'!$B:$B,0)),""))</f>
      </c>
      <c r="E195" s="61">
        <f t="array" ref="E195">IF($B195="","",IFERROR(INDEX('02_DS_Nhan_Viec'!$H:$H,MATCH($B195,'02_DS_Nhan_Viec'!$B:$B,0)),""))</f>
      </c>
      <c r="F195" s="68">
        <f t="array" ref="F195">IF($B195="","",IFERROR(INDEX('02_DS_Nhan_Viec'!$E:$E,MATCH($B195,'02_DS_Nhan_Viec'!$B:$B,0)),""))</f>
      </c>
      <c r="G195" s="68">
        <f t="shared" si="1"/>
      </c>
      <c r="H195" s="68">
        <f t="shared" si="2"/>
      </c>
      <c r="I195" s="68"/>
      <c r="J195" s="61"/>
      <c r="K195" s="61"/>
      <c r="L195" s="61"/>
      <c r="M195" s="61"/>
      <c r="N195" s="61"/>
      <c r="O195" s="61"/>
      <c r="P195" s="92"/>
      <c r="Q195" s="92"/>
      <c r="R195" s="93">
        <f t="shared" si="3"/>
      </c>
      <c r="S195" s="61"/>
      <c r="T195" s="61"/>
      <c r="U195" s="61"/>
      <c r="V195" s="61"/>
      <c r="W195" s="61">
        <f t="shared" si="4"/>
      </c>
      <c r="X195" s="94">
        <f t="shared" si="5"/>
      </c>
      <c r="Y195" s="94">
        <f t="shared" si="6"/>
      </c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95"/>
      <c r="AM195" s="61"/>
      <c r="AN195" s="61"/>
      <c r="AO195" s="68"/>
      <c r="AP195" s="61"/>
      <c r="AQ195" s="61"/>
      <c r="AR195" s="61"/>
      <c r="AS195" s="61"/>
      <c r="AT195" s="61"/>
      <c r="AU195" s="61"/>
      <c r="AV195" s="92"/>
      <c r="AW195" s="92"/>
      <c r="AX195" s="93">
        <f t="shared" si="7"/>
      </c>
      <c r="AY195" s="61"/>
      <c r="AZ195" s="61"/>
      <c r="BA195" s="61"/>
      <c r="BB195" s="61"/>
      <c r="BC195" s="61">
        <f t="shared" si="11"/>
      </c>
      <c r="BD195" s="94">
        <f t="shared" si="12"/>
      </c>
      <c r="BE195" s="94">
        <f t="shared" si="13"/>
      </c>
      <c r="BF195" s="61"/>
      <c r="BG195" s="61"/>
      <c r="BH195" s="61"/>
      <c r="BI195" s="61"/>
      <c r="BJ195" s="61"/>
      <c r="BK195" s="61"/>
      <c r="BL195" s="61"/>
      <c r="BM195" s="61"/>
      <c r="BN195" s="61"/>
      <c r="BO195" s="61"/>
      <c r="BP195" s="61"/>
      <c r="BQ195" s="61"/>
      <c r="BR195" s="95"/>
      <c r="BS195" s="61"/>
      <c r="BT195" s="61"/>
    </row>
    <row r="196" ht="14.25" customHeight="1" spans="1:72" x14ac:dyDescent="0.25">
      <c r="A196" s="61">
        <f t="shared" si="0"/>
      </c>
      <c r="B196" s="61">
        <f t="array" ref="B196">IFERROR(INDEX('02_DS_Nhan_Viec'!$B:$B,MATCH(ROW()-1,'02_DS_Nhan_Viec'!$M:$M,0)),"")</f>
      </c>
      <c r="C196" s="61">
        <f t="array" ref="C196">IF($B196="","",IFERROR(INDEX('01_UngVien_PhongVan'!$D:$D,MATCH($B196,'01_UngVien_PhongVan'!$B:$B,0)),"Không tìm thấy mã ứng viên"))</f>
      </c>
      <c r="D196" s="61">
        <f t="array" ref="D196">IF($B196="","",IFERROR(INDEX('01_UngVien_PhongVan'!$R:$R,MATCH($B196,'01_UngVien_PhongVan'!$B:$B,0)),""))</f>
      </c>
      <c r="E196" s="61">
        <f t="array" ref="E196">IF($B196="","",IFERROR(INDEX('02_DS_Nhan_Viec'!$H:$H,MATCH($B196,'02_DS_Nhan_Viec'!$B:$B,0)),""))</f>
      </c>
      <c r="F196" s="68">
        <f t="array" ref="F196">IF($B196="","",IFERROR(INDEX('02_DS_Nhan_Viec'!$E:$E,MATCH($B196,'02_DS_Nhan_Viec'!$B:$B,0)),""))</f>
      </c>
      <c r="G196" s="68">
        <f t="shared" si="1"/>
      </c>
      <c r="H196" s="68">
        <f t="shared" si="2"/>
      </c>
      <c r="I196" s="68"/>
      <c r="J196" s="61"/>
      <c r="K196" s="61"/>
      <c r="L196" s="61"/>
      <c r="M196" s="61"/>
      <c r="N196" s="61"/>
      <c r="O196" s="61"/>
      <c r="P196" s="92"/>
      <c r="Q196" s="92"/>
      <c r="R196" s="93">
        <f t="shared" si="3"/>
      </c>
      <c r="S196" s="61"/>
      <c r="T196" s="61"/>
      <c r="U196" s="61"/>
      <c r="V196" s="61"/>
      <c r="W196" s="61">
        <f t="shared" si="4"/>
      </c>
      <c r="X196" s="94">
        <f t="shared" si="5"/>
      </c>
      <c r="Y196" s="94">
        <f t="shared" si="6"/>
      </c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95"/>
      <c r="AM196" s="61"/>
      <c r="AN196" s="61"/>
      <c r="AO196" s="68"/>
      <c r="AP196" s="61"/>
      <c r="AQ196" s="61"/>
      <c r="AR196" s="61"/>
      <c r="AS196" s="61"/>
      <c r="AT196" s="61"/>
      <c r="AU196" s="61"/>
      <c r="AV196" s="92"/>
      <c r="AW196" s="92"/>
      <c r="AX196" s="93">
        <f t="shared" si="7"/>
      </c>
      <c r="AY196" s="61"/>
      <c r="AZ196" s="61"/>
      <c r="BA196" s="61"/>
      <c r="BB196" s="61"/>
      <c r="BC196" s="61">
        <f t="shared" si="11"/>
      </c>
      <c r="BD196" s="94">
        <f t="shared" si="12"/>
      </c>
      <c r="BE196" s="94">
        <f t="shared" si="13"/>
      </c>
      <c r="BF196" s="61"/>
      <c r="BG196" s="61"/>
      <c r="BH196" s="61"/>
      <c r="BI196" s="61"/>
      <c r="BJ196" s="61"/>
      <c r="BK196" s="61"/>
      <c r="BL196" s="61"/>
      <c r="BM196" s="61"/>
      <c r="BN196" s="61"/>
      <c r="BO196" s="61"/>
      <c r="BP196" s="61"/>
      <c r="BQ196" s="61"/>
      <c r="BR196" s="95"/>
      <c r="BS196" s="61"/>
      <c r="BT196" s="61"/>
    </row>
    <row r="197" ht="14.25" customHeight="1" spans="1:72" x14ac:dyDescent="0.25">
      <c r="A197" s="61">
        <f t="shared" si="0"/>
      </c>
      <c r="B197" s="61">
        <f t="array" ref="B197">IFERROR(INDEX('02_DS_Nhan_Viec'!$B:$B,MATCH(ROW()-1,'02_DS_Nhan_Viec'!$M:$M,0)),"")</f>
      </c>
      <c r="C197" s="61">
        <f t="array" ref="C197">IF($B197="","",IFERROR(INDEX('01_UngVien_PhongVan'!$D:$D,MATCH($B197,'01_UngVien_PhongVan'!$B:$B,0)),"Không tìm thấy mã ứng viên"))</f>
      </c>
      <c r="D197" s="61">
        <f t="array" ref="D197">IF($B197="","",IFERROR(INDEX('01_UngVien_PhongVan'!$R:$R,MATCH($B197,'01_UngVien_PhongVan'!$B:$B,0)),""))</f>
      </c>
      <c r="E197" s="61">
        <f t="array" ref="E197">IF($B197="","",IFERROR(INDEX('02_DS_Nhan_Viec'!$H:$H,MATCH($B197,'02_DS_Nhan_Viec'!$B:$B,0)),""))</f>
      </c>
      <c r="F197" s="68">
        <f t="array" ref="F197">IF($B197="","",IFERROR(INDEX('02_DS_Nhan_Viec'!$E:$E,MATCH($B197,'02_DS_Nhan_Viec'!$B:$B,0)),""))</f>
      </c>
      <c r="G197" s="68">
        <f t="shared" si="1"/>
      </c>
      <c r="H197" s="68">
        <f t="shared" si="2"/>
      </c>
      <c r="I197" s="68"/>
      <c r="J197" s="61"/>
      <c r="K197" s="61"/>
      <c r="L197" s="61"/>
      <c r="M197" s="61"/>
      <c r="N197" s="61"/>
      <c r="O197" s="61"/>
      <c r="P197" s="92"/>
      <c r="Q197" s="92"/>
      <c r="R197" s="93">
        <f t="shared" si="3"/>
      </c>
      <c r="S197" s="61"/>
      <c r="T197" s="61"/>
      <c r="U197" s="61"/>
      <c r="V197" s="61"/>
      <c r="W197" s="61">
        <f t="shared" si="4"/>
      </c>
      <c r="X197" s="94">
        <f t="shared" si="5"/>
      </c>
      <c r="Y197" s="94">
        <f t="shared" si="6"/>
      </c>
      <c r="Z197" s="61"/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 s="61"/>
      <c r="AL197" s="95"/>
      <c r="AM197" s="61"/>
      <c r="AN197" s="61"/>
      <c r="AO197" s="68"/>
      <c r="AP197" s="61"/>
      <c r="AQ197" s="61"/>
      <c r="AR197" s="61"/>
      <c r="AS197" s="61"/>
      <c r="AT197" s="61"/>
      <c r="AU197" s="61"/>
      <c r="AV197" s="92"/>
      <c r="AW197" s="92"/>
      <c r="AX197" s="93">
        <f t="shared" si="7"/>
      </c>
      <c r="AY197" s="61"/>
      <c r="AZ197" s="61"/>
      <c r="BA197" s="61"/>
      <c r="BB197" s="61"/>
      <c r="BC197" s="61">
        <f t="shared" si="11"/>
      </c>
      <c r="BD197" s="94">
        <f t="shared" si="12"/>
      </c>
      <c r="BE197" s="94">
        <f t="shared" si="13"/>
      </c>
      <c r="BF197" s="61"/>
      <c r="BG197" s="61"/>
      <c r="BH197" s="61"/>
      <c r="BI197" s="61"/>
      <c r="BJ197" s="61"/>
      <c r="BK197" s="61"/>
      <c r="BL197" s="61"/>
      <c r="BM197" s="61"/>
      <c r="BN197" s="61"/>
      <c r="BO197" s="61"/>
      <c r="BP197" s="61"/>
      <c r="BQ197" s="61"/>
      <c r="BR197" s="95"/>
      <c r="BS197" s="61"/>
      <c r="BT197" s="61"/>
    </row>
    <row r="198" ht="14.25" customHeight="1" spans="1:72" x14ac:dyDescent="0.25">
      <c r="A198" s="61">
        <f t="shared" si="0"/>
      </c>
      <c r="B198" s="61">
        <f t="array" ref="B198">IFERROR(INDEX('02_DS_Nhan_Viec'!$B:$B,MATCH(ROW()-1,'02_DS_Nhan_Viec'!$M:$M,0)),"")</f>
      </c>
      <c r="C198" s="61">
        <f t="array" ref="C198">IF($B198="","",IFERROR(INDEX('01_UngVien_PhongVan'!$D:$D,MATCH($B198,'01_UngVien_PhongVan'!$B:$B,0)),"Không tìm thấy mã ứng viên"))</f>
      </c>
      <c r="D198" s="61">
        <f t="array" ref="D198">IF($B198="","",IFERROR(INDEX('01_UngVien_PhongVan'!$R:$R,MATCH($B198,'01_UngVien_PhongVan'!$B:$B,0)),""))</f>
      </c>
      <c r="E198" s="61">
        <f t="array" ref="E198">IF($B198="","",IFERROR(INDEX('02_DS_Nhan_Viec'!$H:$H,MATCH($B198,'02_DS_Nhan_Viec'!$B:$B,0)),""))</f>
      </c>
      <c r="F198" s="68">
        <f t="array" ref="F198">IF($B198="","",IFERROR(INDEX('02_DS_Nhan_Viec'!$E:$E,MATCH($B198,'02_DS_Nhan_Viec'!$B:$B,0)),""))</f>
      </c>
      <c r="G198" s="68">
        <f t="shared" si="1"/>
      </c>
      <c r="H198" s="68">
        <f t="shared" si="2"/>
      </c>
      <c r="I198" s="68"/>
      <c r="J198" s="61"/>
      <c r="K198" s="61"/>
      <c r="L198" s="61"/>
      <c r="M198" s="61"/>
      <c r="N198" s="61"/>
      <c r="O198" s="61"/>
      <c r="P198" s="92"/>
      <c r="Q198" s="92"/>
      <c r="R198" s="93">
        <f t="shared" si="3"/>
      </c>
      <c r="S198" s="61"/>
      <c r="T198" s="61"/>
      <c r="U198" s="61"/>
      <c r="V198" s="61"/>
      <c r="W198" s="61">
        <f t="shared" si="4"/>
      </c>
      <c r="X198" s="94">
        <f t="shared" si="5"/>
      </c>
      <c r="Y198" s="94">
        <f t="shared" si="6"/>
      </c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95"/>
      <c r="AM198" s="61"/>
      <c r="AN198" s="61"/>
      <c r="AO198" s="68"/>
      <c r="AP198" s="61"/>
      <c r="AQ198" s="61"/>
      <c r="AR198" s="61"/>
      <c r="AS198" s="61"/>
      <c r="AT198" s="61"/>
      <c r="AU198" s="61"/>
      <c r="AV198" s="92"/>
      <c r="AW198" s="92"/>
      <c r="AX198" s="93">
        <f t="shared" si="7"/>
      </c>
      <c r="AY198" s="61"/>
      <c r="AZ198" s="61"/>
      <c r="BA198" s="61"/>
      <c r="BB198" s="61"/>
      <c r="BC198" s="61">
        <f t="shared" si="11"/>
      </c>
      <c r="BD198" s="94">
        <f t="shared" si="12"/>
      </c>
      <c r="BE198" s="94">
        <f t="shared" si="13"/>
      </c>
      <c r="BF198" s="61"/>
      <c r="BG198" s="61"/>
      <c r="BH198" s="61"/>
      <c r="BI198" s="61"/>
      <c r="BJ198" s="61"/>
      <c r="BK198" s="61"/>
      <c r="BL198" s="61"/>
      <c r="BM198" s="61"/>
      <c r="BN198" s="61"/>
      <c r="BO198" s="61"/>
      <c r="BP198" s="61"/>
      <c r="BQ198" s="61"/>
      <c r="BR198" s="95"/>
      <c r="BS198" s="61"/>
      <c r="BT198" s="61"/>
    </row>
    <row r="199" ht="14.25" customHeight="1" spans="1:72" x14ac:dyDescent="0.25">
      <c r="A199" s="61">
        <f t="shared" si="0"/>
      </c>
      <c r="B199" s="61">
        <f t="array" ref="B199">IFERROR(INDEX('02_DS_Nhan_Viec'!$B:$B,MATCH(ROW()-1,'02_DS_Nhan_Viec'!$M:$M,0)),"")</f>
      </c>
      <c r="C199" s="61">
        <f t="array" ref="C199">IF($B199="","",IFERROR(INDEX('01_UngVien_PhongVan'!$D:$D,MATCH($B199,'01_UngVien_PhongVan'!$B:$B,0)),"Không tìm thấy mã ứng viên"))</f>
      </c>
      <c r="D199" s="61">
        <f t="array" ref="D199">IF($B199="","",IFERROR(INDEX('01_UngVien_PhongVan'!$R:$R,MATCH($B199,'01_UngVien_PhongVan'!$B:$B,0)),""))</f>
      </c>
      <c r="E199" s="61">
        <f t="array" ref="E199">IF($B199="","",IFERROR(INDEX('02_DS_Nhan_Viec'!$H:$H,MATCH($B199,'02_DS_Nhan_Viec'!$B:$B,0)),""))</f>
      </c>
      <c r="F199" s="68">
        <f t="array" ref="F199">IF($B199="","",IFERROR(INDEX('02_DS_Nhan_Viec'!$E:$E,MATCH($B199,'02_DS_Nhan_Viec'!$B:$B,0)),""))</f>
      </c>
      <c r="G199" s="68">
        <f t="shared" si="1"/>
      </c>
      <c r="H199" s="68">
        <f t="shared" si="2"/>
      </c>
      <c r="I199" s="68"/>
      <c r="J199" s="61"/>
      <c r="K199" s="61"/>
      <c r="L199" s="61"/>
      <c r="M199" s="61"/>
      <c r="N199" s="61"/>
      <c r="O199" s="61"/>
      <c r="P199" s="92"/>
      <c r="Q199" s="92"/>
      <c r="R199" s="93">
        <f t="shared" si="3"/>
      </c>
      <c r="S199" s="61"/>
      <c r="T199" s="61"/>
      <c r="U199" s="61"/>
      <c r="V199" s="61"/>
      <c r="W199" s="61">
        <f t="shared" si="4"/>
      </c>
      <c r="X199" s="94">
        <f t="shared" si="5"/>
      </c>
      <c r="Y199" s="94">
        <f t="shared" si="6"/>
      </c>
      <c r="Z199" s="61"/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 s="61"/>
      <c r="AL199" s="95"/>
      <c r="AM199" s="61"/>
      <c r="AN199" s="61"/>
      <c r="AO199" s="68"/>
      <c r="AP199" s="61"/>
      <c r="AQ199" s="61"/>
      <c r="AR199" s="61"/>
      <c r="AS199" s="61"/>
      <c r="AT199" s="61"/>
      <c r="AU199" s="61"/>
      <c r="AV199" s="92"/>
      <c r="AW199" s="92"/>
      <c r="AX199" s="93">
        <f t="shared" si="7"/>
      </c>
      <c r="AY199" s="61"/>
      <c r="AZ199" s="61"/>
      <c r="BA199" s="61"/>
      <c r="BB199" s="61"/>
      <c r="BC199" s="61">
        <f t="shared" si="11"/>
      </c>
      <c r="BD199" s="94">
        <f t="shared" si="12"/>
      </c>
      <c r="BE199" s="94">
        <f t="shared" si="13"/>
      </c>
      <c r="BF199" s="61"/>
      <c r="BG199" s="61"/>
      <c r="BH199" s="61"/>
      <c r="BI199" s="61"/>
      <c r="BJ199" s="61"/>
      <c r="BK199" s="61"/>
      <c r="BL199" s="61"/>
      <c r="BM199" s="61"/>
      <c r="BN199" s="61"/>
      <c r="BO199" s="61"/>
      <c r="BP199" s="61"/>
      <c r="BQ199" s="61"/>
      <c r="BR199" s="95"/>
      <c r="BS199" s="61"/>
      <c r="BT199" s="61"/>
    </row>
    <row r="200" ht="14.25" customHeight="1" spans="1:72" x14ac:dyDescent="0.25">
      <c r="A200" s="61">
        <f t="shared" si="0"/>
      </c>
      <c r="B200" s="61">
        <f t="array" ref="B200">IFERROR(INDEX('02_DS_Nhan_Viec'!$B:$B,MATCH(ROW()-1,'02_DS_Nhan_Viec'!$M:$M,0)),"")</f>
      </c>
      <c r="C200" s="61">
        <f t="array" ref="C200">IF($B200="","",IFERROR(INDEX('01_UngVien_PhongVan'!$D:$D,MATCH($B200,'01_UngVien_PhongVan'!$B:$B,0)),"Không tìm thấy mã ứng viên"))</f>
      </c>
      <c r="D200" s="61">
        <f t="array" ref="D200">IF($B200="","",IFERROR(INDEX('01_UngVien_PhongVan'!$R:$R,MATCH($B200,'01_UngVien_PhongVan'!$B:$B,0)),""))</f>
      </c>
      <c r="E200" s="61">
        <f t="array" ref="E200">IF($B200="","",IFERROR(INDEX('02_DS_Nhan_Viec'!$H:$H,MATCH($B200,'02_DS_Nhan_Viec'!$B:$B,0)),""))</f>
      </c>
      <c r="F200" s="68">
        <f t="array" ref="F200">IF($B200="","",IFERROR(INDEX('02_DS_Nhan_Viec'!$E:$E,MATCH($B200,'02_DS_Nhan_Viec'!$B:$B,0)),""))</f>
      </c>
      <c r="G200" s="68">
        <f t="shared" si="1"/>
      </c>
      <c r="H200" s="68">
        <f t="shared" si="2"/>
      </c>
      <c r="I200" s="68"/>
      <c r="J200" s="61"/>
      <c r="K200" s="61"/>
      <c r="L200" s="61"/>
      <c r="M200" s="61"/>
      <c r="N200" s="61"/>
      <c r="O200" s="61"/>
      <c r="P200" s="92"/>
      <c r="Q200" s="92"/>
      <c r="R200" s="93">
        <f t="shared" si="3"/>
      </c>
      <c r="S200" s="61"/>
      <c r="T200" s="61"/>
      <c r="U200" s="61"/>
      <c r="V200" s="61"/>
      <c r="W200" s="61">
        <f t="shared" si="4"/>
      </c>
      <c r="X200" s="94">
        <f t="shared" si="5"/>
      </c>
      <c r="Y200" s="94">
        <f t="shared" si="6"/>
      </c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95"/>
      <c r="AM200" s="61"/>
      <c r="AN200" s="61"/>
      <c r="AO200" s="68"/>
      <c r="AP200" s="61"/>
      <c r="AQ200" s="61"/>
      <c r="AR200" s="61"/>
      <c r="AS200" s="61"/>
      <c r="AT200" s="61"/>
      <c r="AU200" s="61"/>
      <c r="AV200" s="92"/>
      <c r="AW200" s="92"/>
      <c r="AX200" s="93">
        <f t="shared" si="7"/>
      </c>
      <c r="AY200" s="61"/>
      <c r="AZ200" s="61"/>
      <c r="BA200" s="61"/>
      <c r="BB200" s="61"/>
      <c r="BC200" s="61">
        <f t="shared" si="11"/>
      </c>
      <c r="BD200" s="94">
        <f t="shared" si="12"/>
      </c>
      <c r="BE200" s="94">
        <f t="shared" si="13"/>
      </c>
      <c r="BF200" s="61"/>
      <c r="BG200" s="61"/>
      <c r="BH200" s="61"/>
      <c r="BI200" s="61"/>
      <c r="BJ200" s="61"/>
      <c r="BK200" s="61"/>
      <c r="BL200" s="61"/>
      <c r="BM200" s="61"/>
      <c r="BN200" s="61"/>
      <c r="BO200" s="61"/>
      <c r="BP200" s="61"/>
      <c r="BQ200" s="61"/>
      <c r="BR200" s="95"/>
      <c r="BS200" s="61"/>
      <c r="BT200" s="61"/>
    </row>
    <row r="201" ht="14.25" customHeight="1" spans="1:72" x14ac:dyDescent="0.25">
      <c r="A201" s="61">
        <f t="shared" si="0"/>
      </c>
      <c r="B201" s="61">
        <f t="array" ref="B201">IFERROR(INDEX('02_DS_Nhan_Viec'!$B:$B,MATCH(ROW()-1,'02_DS_Nhan_Viec'!$M:$M,0)),"")</f>
      </c>
      <c r="C201" s="61">
        <f t="array" ref="C201">IF($B201="","",IFERROR(INDEX('01_UngVien_PhongVan'!$D:$D,MATCH($B201,'01_UngVien_PhongVan'!$B:$B,0)),"Không tìm thấy mã ứng viên"))</f>
      </c>
      <c r="D201" s="61">
        <f t="array" ref="D201">IF($B201="","",IFERROR(INDEX('01_UngVien_PhongVan'!$R:$R,MATCH($B201,'01_UngVien_PhongVan'!$B:$B,0)),""))</f>
      </c>
      <c r="E201" s="61">
        <f t="array" ref="E201">IF($B201="","",IFERROR(INDEX('02_DS_Nhan_Viec'!$H:$H,MATCH($B201,'02_DS_Nhan_Viec'!$B:$B,0)),""))</f>
      </c>
      <c r="F201" s="68">
        <f t="array" ref="F201">IF($B201="","",IFERROR(INDEX('02_DS_Nhan_Viec'!$E:$E,MATCH($B201,'02_DS_Nhan_Viec'!$B:$B,0)),""))</f>
      </c>
      <c r="G201" s="68">
        <f t="shared" si="1"/>
      </c>
      <c r="H201" s="68">
        <f t="shared" si="2"/>
      </c>
      <c r="I201" s="68"/>
      <c r="J201" s="61"/>
      <c r="K201" s="61"/>
      <c r="L201" s="61"/>
      <c r="M201" s="61"/>
      <c r="N201" s="61"/>
      <c r="O201" s="61"/>
      <c r="P201" s="92"/>
      <c r="Q201" s="92"/>
      <c r="R201" s="93">
        <f t="shared" si="3"/>
      </c>
      <c r="S201" s="61"/>
      <c r="T201" s="61"/>
      <c r="U201" s="61"/>
      <c r="V201" s="61"/>
      <c r="W201" s="61">
        <f t="shared" si="4"/>
      </c>
      <c r="X201" s="94">
        <f t="shared" si="5"/>
      </c>
      <c r="Y201" s="94">
        <f t="shared" si="6"/>
      </c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95"/>
      <c r="AM201" s="61"/>
      <c r="AN201" s="61"/>
      <c r="AO201" s="68"/>
      <c r="AP201" s="61"/>
      <c r="AQ201" s="61"/>
      <c r="AR201" s="61"/>
      <c r="AS201" s="61"/>
      <c r="AT201" s="61"/>
      <c r="AU201" s="61"/>
      <c r="AV201" s="92"/>
      <c r="AW201" s="92"/>
      <c r="AX201" s="93">
        <f t="shared" si="7"/>
      </c>
      <c r="AY201" s="61"/>
      <c r="AZ201" s="61"/>
      <c r="BA201" s="61"/>
      <c r="BB201" s="61"/>
      <c r="BC201" s="61">
        <f t="shared" si="11"/>
      </c>
      <c r="BD201" s="94">
        <f t="shared" si="12"/>
      </c>
      <c r="BE201" s="94">
        <f t="shared" si="13"/>
      </c>
      <c r="BF201" s="61"/>
      <c r="BG201" s="61"/>
      <c r="BH201" s="61"/>
      <c r="BI201" s="61"/>
      <c r="BJ201" s="61"/>
      <c r="BK201" s="61"/>
      <c r="BL201" s="61"/>
      <c r="BM201" s="61"/>
      <c r="BN201" s="61"/>
      <c r="BO201" s="61"/>
      <c r="BP201" s="61"/>
      <c r="BQ201" s="61"/>
      <c r="BR201" s="95"/>
      <c r="BS201" s="61"/>
      <c r="BT201" s="61"/>
    </row>
    <row r="202" ht="14.25" customHeight="1" spans="1:72" x14ac:dyDescent="0.25">
      <c r="A202" s="61">
        <f t="shared" si="0"/>
      </c>
      <c r="B202" s="61">
        <f t="array" ref="B202">IFERROR(INDEX('02_DS_Nhan_Viec'!$B:$B,MATCH(ROW()-1,'02_DS_Nhan_Viec'!$M:$M,0)),"")</f>
      </c>
      <c r="C202" s="61">
        <f t="array" ref="C202">IF($B202="","",IFERROR(INDEX('01_UngVien_PhongVan'!$D:$D,MATCH($B202,'01_UngVien_PhongVan'!$B:$B,0)),"Không tìm thấy mã ứng viên"))</f>
      </c>
      <c r="D202" s="61">
        <f t="array" ref="D202">IF($B202="","",IFERROR(INDEX('01_UngVien_PhongVan'!$R:$R,MATCH($B202,'01_UngVien_PhongVan'!$B:$B,0)),""))</f>
      </c>
      <c r="E202" s="61">
        <f t="array" ref="E202">IF($B202="","",IFERROR(INDEX('02_DS_Nhan_Viec'!$H:$H,MATCH($B202,'02_DS_Nhan_Viec'!$B:$B,0)),""))</f>
      </c>
      <c r="F202" s="68">
        <f t="array" ref="F202">IF($B202="","",IFERROR(INDEX('02_DS_Nhan_Viec'!$E:$E,MATCH($B202,'02_DS_Nhan_Viec'!$B:$B,0)),""))</f>
      </c>
      <c r="G202" s="68">
        <f t="shared" si="1"/>
      </c>
      <c r="H202" s="68">
        <f t="shared" si="2"/>
      </c>
      <c r="I202" s="68"/>
      <c r="J202" s="61"/>
      <c r="K202" s="61"/>
      <c r="L202" s="61"/>
      <c r="M202" s="61"/>
      <c r="N202" s="61"/>
      <c r="O202" s="61"/>
      <c r="P202" s="92"/>
      <c r="Q202" s="92"/>
      <c r="R202" s="93">
        <f t="shared" si="3"/>
      </c>
      <c r="S202" s="61"/>
      <c r="T202" s="61"/>
      <c r="U202" s="61"/>
      <c r="V202" s="61"/>
      <c r="W202" s="61">
        <f t="shared" si="4"/>
      </c>
      <c r="X202" s="94">
        <f t="shared" si="5"/>
      </c>
      <c r="Y202" s="94">
        <f t="shared" si="6"/>
      </c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95"/>
      <c r="AM202" s="61"/>
      <c r="AN202" s="61"/>
      <c r="AO202" s="68"/>
      <c r="AP202" s="61"/>
      <c r="AQ202" s="61"/>
      <c r="AR202" s="61"/>
      <c r="AS202" s="61"/>
      <c r="AT202" s="61"/>
      <c r="AU202" s="61"/>
      <c r="AV202" s="92"/>
      <c r="AW202" s="92"/>
      <c r="AX202" s="93">
        <f t="shared" si="7"/>
      </c>
      <c r="AY202" s="61"/>
      <c r="AZ202" s="61"/>
      <c r="BA202" s="61"/>
      <c r="BB202" s="61"/>
      <c r="BC202" s="61">
        <f t="shared" si="11"/>
      </c>
      <c r="BD202" s="94">
        <f t="shared" si="12"/>
      </c>
      <c r="BE202" s="94">
        <f t="shared" si="13"/>
      </c>
      <c r="BF202" s="61"/>
      <c r="BG202" s="61"/>
      <c r="BH202" s="61"/>
      <c r="BI202" s="61"/>
      <c r="BJ202" s="61"/>
      <c r="BK202" s="61"/>
      <c r="BL202" s="61"/>
      <c r="BM202" s="61"/>
      <c r="BN202" s="61"/>
      <c r="BO202" s="61"/>
      <c r="BP202" s="61"/>
      <c r="BQ202" s="61"/>
      <c r="BR202" s="95"/>
      <c r="BS202" s="61"/>
      <c r="BT202" s="61"/>
    </row>
    <row r="203" ht="14.25" customHeight="1" spans="1:72" x14ac:dyDescent="0.25">
      <c r="A203" s="61">
        <f t="shared" si="0"/>
      </c>
      <c r="B203" s="61">
        <f t="array" ref="B203">IFERROR(INDEX('02_DS_Nhan_Viec'!$B:$B,MATCH(ROW()-1,'02_DS_Nhan_Viec'!$M:$M,0)),"")</f>
      </c>
      <c r="C203" s="61">
        <f t="array" ref="C203">IF($B203="","",IFERROR(INDEX('01_UngVien_PhongVan'!$D:$D,MATCH($B203,'01_UngVien_PhongVan'!$B:$B,0)),"Không tìm thấy mã ứng viên"))</f>
      </c>
      <c r="D203" s="61">
        <f t="array" ref="D203">IF($B203="","",IFERROR(INDEX('01_UngVien_PhongVan'!$R:$R,MATCH($B203,'01_UngVien_PhongVan'!$B:$B,0)),""))</f>
      </c>
      <c r="E203" s="61">
        <f t="array" ref="E203">IF($B203="","",IFERROR(INDEX('02_DS_Nhan_Viec'!$H:$H,MATCH($B203,'02_DS_Nhan_Viec'!$B:$B,0)),""))</f>
      </c>
      <c r="F203" s="68">
        <f t="array" ref="F203">IF($B203="","",IFERROR(INDEX('02_DS_Nhan_Viec'!$E:$E,MATCH($B203,'02_DS_Nhan_Viec'!$B:$B,0)),""))</f>
      </c>
      <c r="G203" s="68">
        <f t="shared" si="1"/>
      </c>
      <c r="H203" s="68">
        <f t="shared" si="2"/>
      </c>
      <c r="I203" s="68"/>
      <c r="J203" s="61"/>
      <c r="K203" s="61"/>
      <c r="L203" s="61"/>
      <c r="M203" s="61"/>
      <c r="N203" s="61"/>
      <c r="O203" s="61"/>
      <c r="P203" s="92"/>
      <c r="Q203" s="92"/>
      <c r="R203" s="93">
        <f t="shared" si="3"/>
      </c>
      <c r="S203" s="61"/>
      <c r="T203" s="61"/>
      <c r="U203" s="61"/>
      <c r="V203" s="61"/>
      <c r="W203" s="61">
        <f t="shared" si="4"/>
      </c>
      <c r="X203" s="94">
        <f t="shared" si="5"/>
      </c>
      <c r="Y203" s="94">
        <f t="shared" si="6"/>
      </c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95"/>
      <c r="AM203" s="61"/>
      <c r="AN203" s="61"/>
      <c r="AO203" s="68"/>
      <c r="AP203" s="61"/>
      <c r="AQ203" s="61"/>
      <c r="AR203" s="61"/>
      <c r="AS203" s="61"/>
      <c r="AT203" s="61"/>
      <c r="AU203" s="61"/>
      <c r="AV203" s="92"/>
      <c r="AW203" s="92"/>
      <c r="AX203" s="93">
        <f t="shared" si="7"/>
      </c>
      <c r="AY203" s="61"/>
      <c r="AZ203" s="61"/>
      <c r="BA203" s="61"/>
      <c r="BB203" s="61"/>
      <c r="BC203" s="61">
        <f t="shared" si="11"/>
      </c>
      <c r="BD203" s="94">
        <f t="shared" si="12"/>
      </c>
      <c r="BE203" s="94">
        <f t="shared" si="13"/>
      </c>
      <c r="BF203" s="61"/>
      <c r="BG203" s="61"/>
      <c r="BH203" s="61"/>
      <c r="BI203" s="61"/>
      <c r="BJ203" s="61"/>
      <c r="BK203" s="61"/>
      <c r="BL203" s="61"/>
      <c r="BM203" s="61"/>
      <c r="BN203" s="61"/>
      <c r="BO203" s="61"/>
      <c r="BP203" s="61"/>
      <c r="BQ203" s="61"/>
      <c r="BR203" s="95"/>
      <c r="BS203" s="61"/>
      <c r="BT203" s="61"/>
    </row>
    <row r="204" ht="14.25" customHeight="1" spans="1:72" x14ac:dyDescent="0.25">
      <c r="A204" s="61">
        <f t="shared" si="0"/>
      </c>
      <c r="B204" s="61">
        <f t="array" ref="B204">IFERROR(INDEX('02_DS_Nhan_Viec'!$B:$B,MATCH(ROW()-1,'02_DS_Nhan_Viec'!$M:$M,0)),"")</f>
      </c>
      <c r="C204" s="61">
        <f t="array" ref="C204">IF($B204="","",IFERROR(INDEX('01_UngVien_PhongVan'!$D:$D,MATCH($B204,'01_UngVien_PhongVan'!$B:$B,0)),"Không tìm thấy mã ứng viên"))</f>
      </c>
      <c r="D204" s="61">
        <f t="array" ref="D204">IF($B204="","",IFERROR(INDEX('01_UngVien_PhongVan'!$R:$R,MATCH($B204,'01_UngVien_PhongVan'!$B:$B,0)),""))</f>
      </c>
      <c r="E204" s="61">
        <f t="array" ref="E204">IF($B204="","",IFERROR(INDEX('02_DS_Nhan_Viec'!$H:$H,MATCH($B204,'02_DS_Nhan_Viec'!$B:$B,0)),""))</f>
      </c>
      <c r="F204" s="68">
        <f t="array" ref="F204">IF($B204="","",IFERROR(INDEX('02_DS_Nhan_Viec'!$E:$E,MATCH($B204,'02_DS_Nhan_Viec'!$B:$B,0)),""))</f>
      </c>
      <c r="G204" s="68">
        <f t="shared" si="1"/>
      </c>
      <c r="H204" s="68">
        <f t="shared" si="2"/>
      </c>
      <c r="I204" s="68"/>
      <c r="J204" s="61"/>
      <c r="K204" s="61"/>
      <c r="L204" s="61"/>
      <c r="M204" s="61"/>
      <c r="N204" s="61"/>
      <c r="O204" s="61"/>
      <c r="P204" s="92"/>
      <c r="Q204" s="92"/>
      <c r="R204" s="93">
        <f t="shared" si="3"/>
      </c>
      <c r="S204" s="61"/>
      <c r="T204" s="61"/>
      <c r="U204" s="61"/>
      <c r="V204" s="61"/>
      <c r="W204" s="61">
        <f t="shared" si="4"/>
      </c>
      <c r="X204" s="94">
        <f t="shared" si="5"/>
      </c>
      <c r="Y204" s="94">
        <f t="shared" si="6"/>
      </c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95"/>
      <c r="AM204" s="61"/>
      <c r="AN204" s="61"/>
      <c r="AO204" s="68"/>
      <c r="AP204" s="61"/>
      <c r="AQ204" s="61"/>
      <c r="AR204" s="61"/>
      <c r="AS204" s="61"/>
      <c r="AT204" s="61"/>
      <c r="AU204" s="61"/>
      <c r="AV204" s="92"/>
      <c r="AW204" s="92"/>
      <c r="AX204" s="93">
        <f t="shared" si="7"/>
      </c>
      <c r="AY204" s="61"/>
      <c r="AZ204" s="61"/>
      <c r="BA204" s="61"/>
      <c r="BB204" s="61"/>
      <c r="BC204" s="61">
        <f t="shared" si="11"/>
      </c>
      <c r="BD204" s="94">
        <f t="shared" si="12"/>
      </c>
      <c r="BE204" s="94">
        <f t="shared" si="13"/>
      </c>
      <c r="BF204" s="61"/>
      <c r="BG204" s="61"/>
      <c r="BH204" s="61"/>
      <c r="BI204" s="61"/>
      <c r="BJ204" s="61"/>
      <c r="BK204" s="61"/>
      <c r="BL204" s="61"/>
      <c r="BM204" s="61"/>
      <c r="BN204" s="61"/>
      <c r="BO204" s="61"/>
      <c r="BP204" s="61"/>
      <c r="BQ204" s="61"/>
      <c r="BR204" s="95"/>
      <c r="BS204" s="61"/>
      <c r="BT204" s="61"/>
    </row>
    <row r="205" ht="14.25" customHeight="1" spans="1:72" x14ac:dyDescent="0.25">
      <c r="A205" s="61">
        <f t="shared" si="0"/>
      </c>
      <c r="B205" s="61">
        <f t="array" ref="B205">IFERROR(INDEX('02_DS_Nhan_Viec'!$B:$B,MATCH(ROW()-1,'02_DS_Nhan_Viec'!$M:$M,0)),"")</f>
      </c>
      <c r="C205" s="61">
        <f t="array" ref="C205">IF($B205="","",IFERROR(INDEX('01_UngVien_PhongVan'!$D:$D,MATCH($B205,'01_UngVien_PhongVan'!$B:$B,0)),"Không tìm thấy mã ứng viên"))</f>
      </c>
      <c r="D205" s="61">
        <f t="array" ref="D205">IF($B205="","",IFERROR(INDEX('01_UngVien_PhongVan'!$R:$R,MATCH($B205,'01_UngVien_PhongVan'!$B:$B,0)),""))</f>
      </c>
      <c r="E205" s="61">
        <f t="array" ref="E205">IF($B205="","",IFERROR(INDEX('02_DS_Nhan_Viec'!$H:$H,MATCH($B205,'02_DS_Nhan_Viec'!$B:$B,0)),""))</f>
      </c>
      <c r="F205" s="68">
        <f t="array" ref="F205">IF($B205="","",IFERROR(INDEX('02_DS_Nhan_Viec'!$E:$E,MATCH($B205,'02_DS_Nhan_Viec'!$B:$B,0)),""))</f>
      </c>
      <c r="G205" s="68">
        <f t="shared" si="1"/>
      </c>
      <c r="H205" s="68">
        <f t="shared" si="2"/>
      </c>
      <c r="I205" s="68"/>
      <c r="J205" s="61"/>
      <c r="K205" s="61"/>
      <c r="L205" s="61"/>
      <c r="M205" s="61"/>
      <c r="N205" s="61"/>
      <c r="O205" s="61"/>
      <c r="P205" s="92"/>
      <c r="Q205" s="92"/>
      <c r="R205" s="93">
        <f t="shared" si="3"/>
      </c>
      <c r="S205" s="61"/>
      <c r="T205" s="61"/>
      <c r="U205" s="61"/>
      <c r="V205" s="61"/>
      <c r="W205" s="61">
        <f t="shared" si="4"/>
      </c>
      <c r="X205" s="94">
        <f t="shared" si="5"/>
      </c>
      <c r="Y205" s="94">
        <f t="shared" si="6"/>
      </c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95"/>
      <c r="AM205" s="61"/>
      <c r="AN205" s="61"/>
      <c r="AO205" s="68"/>
      <c r="AP205" s="61"/>
      <c r="AQ205" s="61"/>
      <c r="AR205" s="61"/>
      <c r="AS205" s="61"/>
      <c r="AT205" s="61"/>
      <c r="AU205" s="61"/>
      <c r="AV205" s="92"/>
      <c r="AW205" s="92"/>
      <c r="AX205" s="93">
        <f t="shared" si="7"/>
      </c>
      <c r="AY205" s="61"/>
      <c r="AZ205" s="61"/>
      <c r="BA205" s="61"/>
      <c r="BB205" s="61"/>
      <c r="BC205" s="61">
        <f t="shared" si="11"/>
      </c>
      <c r="BD205" s="94">
        <f t="shared" si="12"/>
      </c>
      <c r="BE205" s="94">
        <f t="shared" si="13"/>
      </c>
      <c r="BF205" s="61"/>
      <c r="BG205" s="61"/>
      <c r="BH205" s="61"/>
      <c r="BI205" s="61"/>
      <c r="BJ205" s="61"/>
      <c r="BK205" s="61"/>
      <c r="BL205" s="61"/>
      <c r="BM205" s="61"/>
      <c r="BN205" s="61"/>
      <c r="BO205" s="61"/>
      <c r="BP205" s="61"/>
      <c r="BQ205" s="61"/>
      <c r="BR205" s="95"/>
      <c r="BS205" s="61"/>
      <c r="BT205" s="61"/>
    </row>
    <row r="206" ht="14.25" customHeight="1" spans="1:72" x14ac:dyDescent="0.25">
      <c r="A206" s="61">
        <f t="shared" si="0"/>
      </c>
      <c r="B206" s="61">
        <f t="array" ref="B206">IFERROR(INDEX('02_DS_Nhan_Viec'!$B:$B,MATCH(ROW()-1,'02_DS_Nhan_Viec'!$M:$M,0)),"")</f>
      </c>
      <c r="C206" s="61">
        <f t="array" ref="C206">IF($B206="","",IFERROR(INDEX('01_UngVien_PhongVan'!$D:$D,MATCH($B206,'01_UngVien_PhongVan'!$B:$B,0)),"Không tìm thấy mã ứng viên"))</f>
      </c>
      <c r="D206" s="61">
        <f t="array" ref="D206">IF($B206="","",IFERROR(INDEX('01_UngVien_PhongVan'!$R:$R,MATCH($B206,'01_UngVien_PhongVan'!$B:$B,0)),""))</f>
      </c>
      <c r="E206" s="61">
        <f t="array" ref="E206">IF($B206="","",IFERROR(INDEX('02_DS_Nhan_Viec'!$H:$H,MATCH($B206,'02_DS_Nhan_Viec'!$B:$B,0)),""))</f>
      </c>
      <c r="F206" s="68">
        <f t="array" ref="F206">IF($B206="","",IFERROR(INDEX('02_DS_Nhan_Viec'!$E:$E,MATCH($B206,'02_DS_Nhan_Viec'!$B:$B,0)),""))</f>
      </c>
      <c r="G206" s="68">
        <f t="shared" si="1"/>
      </c>
      <c r="H206" s="68">
        <f t="shared" si="2"/>
      </c>
      <c r="I206" s="68"/>
      <c r="J206" s="61"/>
      <c r="K206" s="61"/>
      <c r="L206" s="61"/>
      <c r="M206" s="61"/>
      <c r="N206" s="61"/>
      <c r="O206" s="61"/>
      <c r="P206" s="92"/>
      <c r="Q206" s="92"/>
      <c r="R206" s="93">
        <f t="shared" si="3"/>
      </c>
      <c r="S206" s="61"/>
      <c r="T206" s="61"/>
      <c r="U206" s="61"/>
      <c r="V206" s="61"/>
      <c r="W206" s="61">
        <f t="shared" si="4"/>
      </c>
      <c r="X206" s="94">
        <f t="shared" si="5"/>
      </c>
      <c r="Y206" s="94">
        <f t="shared" si="6"/>
      </c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 s="61"/>
      <c r="AL206" s="95"/>
      <c r="AM206" s="61"/>
      <c r="AN206" s="61"/>
      <c r="AO206" s="68"/>
      <c r="AP206" s="61"/>
      <c r="AQ206" s="61"/>
      <c r="AR206" s="61"/>
      <c r="AS206" s="61"/>
      <c r="AT206" s="61"/>
      <c r="AU206" s="61"/>
      <c r="AV206" s="92"/>
      <c r="AW206" s="92"/>
      <c r="AX206" s="93">
        <f t="shared" si="7"/>
      </c>
      <c r="AY206" s="61"/>
      <c r="AZ206" s="61"/>
      <c r="BA206" s="61"/>
      <c r="BB206" s="61"/>
      <c r="BC206" s="61">
        <f t="shared" si="11"/>
      </c>
      <c r="BD206" s="94">
        <f t="shared" si="12"/>
      </c>
      <c r="BE206" s="94">
        <f t="shared" si="13"/>
      </c>
      <c r="BF206" s="61"/>
      <c r="BG206" s="61"/>
      <c r="BH206" s="61"/>
      <c r="BI206" s="61"/>
      <c r="BJ206" s="61"/>
      <c r="BK206" s="61"/>
      <c r="BL206" s="61"/>
      <c r="BM206" s="61"/>
      <c r="BN206" s="61"/>
      <c r="BO206" s="61"/>
      <c r="BP206" s="61"/>
      <c r="BQ206" s="61"/>
      <c r="BR206" s="95"/>
      <c r="BS206" s="61"/>
      <c r="BT206" s="61"/>
    </row>
    <row r="207" ht="14.25" customHeight="1" spans="1:72" x14ac:dyDescent="0.25">
      <c r="A207" s="61">
        <f t="shared" si="0"/>
      </c>
      <c r="B207" s="61">
        <f t="array" ref="B207">IFERROR(INDEX('02_DS_Nhan_Viec'!$B:$B,MATCH(ROW()-1,'02_DS_Nhan_Viec'!$M:$M,0)),"")</f>
      </c>
      <c r="C207" s="61">
        <f t="array" ref="C207">IF($B207="","",IFERROR(INDEX('01_UngVien_PhongVan'!$D:$D,MATCH($B207,'01_UngVien_PhongVan'!$B:$B,0)),"Không tìm thấy mã ứng viên"))</f>
      </c>
      <c r="D207" s="61">
        <f t="array" ref="D207">IF($B207="","",IFERROR(INDEX('01_UngVien_PhongVan'!$R:$R,MATCH($B207,'01_UngVien_PhongVan'!$B:$B,0)),""))</f>
      </c>
      <c r="E207" s="61">
        <f t="array" ref="E207">IF($B207="","",IFERROR(INDEX('02_DS_Nhan_Viec'!$H:$H,MATCH($B207,'02_DS_Nhan_Viec'!$B:$B,0)),""))</f>
      </c>
      <c r="F207" s="68">
        <f t="array" ref="F207">IF($B207="","",IFERROR(INDEX('02_DS_Nhan_Viec'!$E:$E,MATCH($B207,'02_DS_Nhan_Viec'!$B:$B,0)),""))</f>
      </c>
      <c r="G207" s="68">
        <f t="shared" si="1"/>
      </c>
      <c r="H207" s="68">
        <f t="shared" si="2"/>
      </c>
      <c r="I207" s="68"/>
      <c r="J207" s="61"/>
      <c r="K207" s="61"/>
      <c r="L207" s="61"/>
      <c r="M207" s="61"/>
      <c r="N207" s="61"/>
      <c r="O207" s="61"/>
      <c r="P207" s="92"/>
      <c r="Q207" s="92"/>
      <c r="R207" s="93">
        <f t="shared" si="3"/>
      </c>
      <c r="S207" s="61"/>
      <c r="T207" s="61"/>
      <c r="U207" s="61"/>
      <c r="V207" s="61"/>
      <c r="W207" s="61">
        <f t="shared" si="4"/>
      </c>
      <c r="X207" s="94">
        <f t="shared" si="5"/>
      </c>
      <c r="Y207" s="94">
        <f t="shared" si="6"/>
      </c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 s="61"/>
      <c r="AL207" s="95"/>
      <c r="AM207" s="61"/>
      <c r="AN207" s="61"/>
      <c r="AO207" s="68"/>
      <c r="AP207" s="61"/>
      <c r="AQ207" s="61"/>
      <c r="AR207" s="61"/>
      <c r="AS207" s="61"/>
      <c r="AT207" s="61"/>
      <c r="AU207" s="61"/>
      <c r="AV207" s="92"/>
      <c r="AW207" s="92"/>
      <c r="AX207" s="93">
        <f t="shared" si="7"/>
      </c>
      <c r="AY207" s="61"/>
      <c r="AZ207" s="61"/>
      <c r="BA207" s="61"/>
      <c r="BB207" s="61"/>
      <c r="BC207" s="61">
        <f t="shared" si="11"/>
      </c>
      <c r="BD207" s="94">
        <f t="shared" si="12"/>
      </c>
      <c r="BE207" s="94">
        <f t="shared" si="13"/>
      </c>
      <c r="BF207" s="61"/>
      <c r="BG207" s="61"/>
      <c r="BH207" s="61"/>
      <c r="BI207" s="61"/>
      <c r="BJ207" s="61"/>
      <c r="BK207" s="61"/>
      <c r="BL207" s="61"/>
      <c r="BM207" s="61"/>
      <c r="BN207" s="61"/>
      <c r="BO207" s="61"/>
      <c r="BP207" s="61"/>
      <c r="BQ207" s="61"/>
      <c r="BR207" s="95"/>
      <c r="BS207" s="61"/>
      <c r="BT207" s="61"/>
    </row>
    <row r="208" ht="14.25" customHeight="1" spans="1:72" x14ac:dyDescent="0.25">
      <c r="A208" s="61">
        <f t="shared" si="0"/>
      </c>
      <c r="B208" s="61">
        <f t="array" ref="B208">IFERROR(INDEX('02_DS_Nhan_Viec'!$B:$B,MATCH(ROW()-1,'02_DS_Nhan_Viec'!$M:$M,0)),"")</f>
      </c>
      <c r="C208" s="61">
        <f t="array" ref="C208">IF($B208="","",IFERROR(INDEX('01_UngVien_PhongVan'!$D:$D,MATCH($B208,'01_UngVien_PhongVan'!$B:$B,0)),"Không tìm thấy mã ứng viên"))</f>
      </c>
      <c r="D208" s="61">
        <f t="array" ref="D208">IF($B208="","",IFERROR(INDEX('01_UngVien_PhongVan'!$R:$R,MATCH($B208,'01_UngVien_PhongVan'!$B:$B,0)),""))</f>
      </c>
      <c r="E208" s="61">
        <f t="array" ref="E208">IF($B208="","",IFERROR(INDEX('02_DS_Nhan_Viec'!$H:$H,MATCH($B208,'02_DS_Nhan_Viec'!$B:$B,0)),""))</f>
      </c>
      <c r="F208" s="68">
        <f t="array" ref="F208">IF($B208="","",IFERROR(INDEX('02_DS_Nhan_Viec'!$E:$E,MATCH($B208,'02_DS_Nhan_Viec'!$B:$B,0)),""))</f>
      </c>
      <c r="G208" s="68">
        <f t="shared" si="1"/>
      </c>
      <c r="H208" s="68">
        <f t="shared" si="2"/>
      </c>
      <c r="I208" s="68"/>
      <c r="J208" s="61"/>
      <c r="K208" s="61"/>
      <c r="L208" s="61"/>
      <c r="M208" s="61"/>
      <c r="N208" s="61"/>
      <c r="O208" s="61"/>
      <c r="P208" s="92"/>
      <c r="Q208" s="92"/>
      <c r="R208" s="93">
        <f t="shared" si="3"/>
      </c>
      <c r="S208" s="61"/>
      <c r="T208" s="61"/>
      <c r="U208" s="61"/>
      <c r="V208" s="61"/>
      <c r="W208" s="61">
        <f t="shared" si="4"/>
      </c>
      <c r="X208" s="94">
        <f t="shared" si="5"/>
      </c>
      <c r="Y208" s="94">
        <f t="shared" si="6"/>
      </c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95"/>
      <c r="AM208" s="61"/>
      <c r="AN208" s="61"/>
      <c r="AO208" s="68"/>
      <c r="AP208" s="61"/>
      <c r="AQ208" s="61"/>
      <c r="AR208" s="61"/>
      <c r="AS208" s="61"/>
      <c r="AT208" s="61"/>
      <c r="AU208" s="61"/>
      <c r="AV208" s="92"/>
      <c r="AW208" s="92"/>
      <c r="AX208" s="93">
        <f t="shared" si="7"/>
      </c>
      <c r="AY208" s="61"/>
      <c r="AZ208" s="61"/>
      <c r="BA208" s="61"/>
      <c r="BB208" s="61"/>
      <c r="BC208" s="61">
        <f t="shared" si="11"/>
      </c>
      <c r="BD208" s="94">
        <f t="shared" si="12"/>
      </c>
      <c r="BE208" s="94">
        <f t="shared" si="13"/>
      </c>
      <c r="BF208" s="61"/>
      <c r="BG208" s="61"/>
      <c r="BH208" s="61"/>
      <c r="BI208" s="61"/>
      <c r="BJ208" s="61"/>
      <c r="BK208" s="61"/>
      <c r="BL208" s="61"/>
      <c r="BM208" s="61"/>
      <c r="BN208" s="61"/>
      <c r="BO208" s="61"/>
      <c r="BP208" s="61"/>
      <c r="BQ208" s="61"/>
      <c r="BR208" s="95"/>
      <c r="BS208" s="61"/>
      <c r="BT208" s="61"/>
    </row>
    <row r="209" ht="14.25" customHeight="1" spans="1:72" x14ac:dyDescent="0.25">
      <c r="A209" s="61">
        <f t="shared" si="0"/>
      </c>
      <c r="B209" s="61">
        <f t="array" ref="B209">IFERROR(INDEX('02_DS_Nhan_Viec'!$B:$B,MATCH(ROW()-1,'02_DS_Nhan_Viec'!$M:$M,0)),"")</f>
      </c>
      <c r="C209" s="61">
        <f t="array" ref="C209">IF($B209="","",IFERROR(INDEX('01_UngVien_PhongVan'!$D:$D,MATCH($B209,'01_UngVien_PhongVan'!$B:$B,0)),"Không tìm thấy mã ứng viên"))</f>
      </c>
      <c r="D209" s="61">
        <f t="array" ref="D209">IF($B209="","",IFERROR(INDEX('01_UngVien_PhongVan'!$R:$R,MATCH($B209,'01_UngVien_PhongVan'!$B:$B,0)),""))</f>
      </c>
      <c r="E209" s="61">
        <f t="array" ref="E209">IF($B209="","",IFERROR(INDEX('02_DS_Nhan_Viec'!$H:$H,MATCH($B209,'02_DS_Nhan_Viec'!$B:$B,0)),""))</f>
      </c>
      <c r="F209" s="68">
        <f t="array" ref="F209">IF($B209="","",IFERROR(INDEX('02_DS_Nhan_Viec'!$E:$E,MATCH($B209,'02_DS_Nhan_Viec'!$B:$B,0)),""))</f>
      </c>
      <c r="G209" s="68">
        <f t="shared" si="1"/>
      </c>
      <c r="H209" s="68">
        <f t="shared" si="2"/>
      </c>
      <c r="I209" s="68"/>
      <c r="J209" s="61"/>
      <c r="K209" s="61"/>
      <c r="L209" s="61"/>
      <c r="M209" s="61"/>
      <c r="N209" s="61"/>
      <c r="O209" s="61"/>
      <c r="P209" s="92"/>
      <c r="Q209" s="92"/>
      <c r="R209" s="93">
        <f t="shared" si="3"/>
      </c>
      <c r="S209" s="61"/>
      <c r="T209" s="61"/>
      <c r="U209" s="61"/>
      <c r="V209" s="61"/>
      <c r="W209" s="61">
        <f t="shared" si="4"/>
      </c>
      <c r="X209" s="94">
        <f t="shared" si="5"/>
      </c>
      <c r="Y209" s="94">
        <f t="shared" si="6"/>
      </c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95"/>
      <c r="AM209" s="61"/>
      <c r="AN209" s="61"/>
      <c r="AO209" s="68"/>
      <c r="AP209" s="61"/>
      <c r="AQ209" s="61"/>
      <c r="AR209" s="61"/>
      <c r="AS209" s="61"/>
      <c r="AT209" s="61"/>
      <c r="AU209" s="61"/>
      <c r="AV209" s="92"/>
      <c r="AW209" s="92"/>
      <c r="AX209" s="93">
        <f t="shared" si="7"/>
      </c>
      <c r="AY209" s="61"/>
      <c r="AZ209" s="61"/>
      <c r="BA209" s="61"/>
      <c r="BB209" s="61"/>
      <c r="BC209" s="61">
        <f t="shared" si="11"/>
      </c>
      <c r="BD209" s="94">
        <f t="shared" si="12"/>
      </c>
      <c r="BE209" s="94">
        <f t="shared" si="13"/>
      </c>
      <c r="BF209" s="61"/>
      <c r="BG209" s="61"/>
      <c r="BH209" s="61"/>
      <c r="BI209" s="61"/>
      <c r="BJ209" s="61"/>
      <c r="BK209" s="61"/>
      <c r="BL209" s="61"/>
      <c r="BM209" s="61"/>
      <c r="BN209" s="61"/>
      <c r="BO209" s="61"/>
      <c r="BP209" s="61"/>
      <c r="BQ209" s="61"/>
      <c r="BR209" s="95"/>
      <c r="BS209" s="61"/>
      <c r="BT209" s="61"/>
    </row>
    <row r="210" ht="14.25" customHeight="1" spans="1:72" x14ac:dyDescent="0.25">
      <c r="A210" s="61">
        <f t="shared" si="0"/>
      </c>
      <c r="B210" s="61">
        <f t="array" ref="B210">IFERROR(INDEX('02_DS_Nhan_Viec'!$B:$B,MATCH(ROW()-1,'02_DS_Nhan_Viec'!$M:$M,0)),"")</f>
      </c>
      <c r="C210" s="61">
        <f t="array" ref="C210">IF($B210="","",IFERROR(INDEX('01_UngVien_PhongVan'!$D:$D,MATCH($B210,'01_UngVien_PhongVan'!$B:$B,0)),"Không tìm thấy mã ứng viên"))</f>
      </c>
      <c r="D210" s="61">
        <f t="array" ref="D210">IF($B210="","",IFERROR(INDEX('01_UngVien_PhongVan'!$R:$R,MATCH($B210,'01_UngVien_PhongVan'!$B:$B,0)),""))</f>
      </c>
      <c r="E210" s="61">
        <f t="array" ref="E210">IF($B210="","",IFERROR(INDEX('02_DS_Nhan_Viec'!$H:$H,MATCH($B210,'02_DS_Nhan_Viec'!$B:$B,0)),""))</f>
      </c>
      <c r="F210" s="68">
        <f t="array" ref="F210">IF($B210="","",IFERROR(INDEX('02_DS_Nhan_Viec'!$E:$E,MATCH($B210,'02_DS_Nhan_Viec'!$B:$B,0)),""))</f>
      </c>
      <c r="G210" s="68">
        <f t="shared" si="1"/>
      </c>
      <c r="H210" s="68">
        <f t="shared" si="2"/>
      </c>
      <c r="I210" s="68"/>
      <c r="J210" s="61"/>
      <c r="K210" s="61"/>
      <c r="L210" s="61"/>
      <c r="M210" s="61"/>
      <c r="N210" s="61"/>
      <c r="O210" s="61"/>
      <c r="P210" s="92"/>
      <c r="Q210" s="92"/>
      <c r="R210" s="93">
        <f t="shared" si="3"/>
      </c>
      <c r="S210" s="61"/>
      <c r="T210" s="61"/>
      <c r="U210" s="61"/>
      <c r="V210" s="61"/>
      <c r="W210" s="61">
        <f t="shared" si="4"/>
      </c>
      <c r="X210" s="94">
        <f t="shared" si="5"/>
      </c>
      <c r="Y210" s="94">
        <f t="shared" si="6"/>
      </c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95"/>
      <c r="AM210" s="61"/>
      <c r="AN210" s="61"/>
      <c r="AO210" s="68"/>
      <c r="AP210" s="61"/>
      <c r="AQ210" s="61"/>
      <c r="AR210" s="61"/>
      <c r="AS210" s="61"/>
      <c r="AT210" s="61"/>
      <c r="AU210" s="61"/>
      <c r="AV210" s="92"/>
      <c r="AW210" s="92"/>
      <c r="AX210" s="93">
        <f t="shared" si="7"/>
      </c>
      <c r="AY210" s="61"/>
      <c r="AZ210" s="61"/>
      <c r="BA210" s="61"/>
      <c r="BB210" s="61"/>
      <c r="BC210" s="61">
        <f t="shared" si="11"/>
      </c>
      <c r="BD210" s="94">
        <f t="shared" si="12"/>
      </c>
      <c r="BE210" s="94">
        <f t="shared" si="13"/>
      </c>
      <c r="BF210" s="61"/>
      <c r="BG210" s="61"/>
      <c r="BH210" s="61"/>
      <c r="BI210" s="61"/>
      <c r="BJ210" s="61"/>
      <c r="BK210" s="61"/>
      <c r="BL210" s="61"/>
      <c r="BM210" s="61"/>
      <c r="BN210" s="61"/>
      <c r="BO210" s="61"/>
      <c r="BP210" s="61"/>
      <c r="BQ210" s="61"/>
      <c r="BR210" s="95"/>
      <c r="BS210" s="61"/>
      <c r="BT210" s="61"/>
    </row>
    <row r="211" ht="14.25" customHeight="1" spans="1:72" x14ac:dyDescent="0.25">
      <c r="A211" s="61">
        <f t="shared" si="0"/>
      </c>
      <c r="B211" s="61">
        <f t="array" ref="B211">IFERROR(INDEX('02_DS_Nhan_Viec'!$B:$B,MATCH(ROW()-1,'02_DS_Nhan_Viec'!$M:$M,0)),"")</f>
      </c>
      <c r="C211" s="61">
        <f t="array" ref="C211">IF($B211="","",IFERROR(INDEX('01_UngVien_PhongVan'!$D:$D,MATCH($B211,'01_UngVien_PhongVan'!$B:$B,0)),"Không tìm thấy mã ứng viên"))</f>
      </c>
      <c r="D211" s="61">
        <f t="array" ref="D211">IF($B211="","",IFERROR(INDEX('01_UngVien_PhongVan'!$R:$R,MATCH($B211,'01_UngVien_PhongVan'!$B:$B,0)),""))</f>
      </c>
      <c r="E211" s="61">
        <f t="array" ref="E211">IF($B211="","",IFERROR(INDEX('02_DS_Nhan_Viec'!$H:$H,MATCH($B211,'02_DS_Nhan_Viec'!$B:$B,0)),""))</f>
      </c>
      <c r="F211" s="68">
        <f t="array" ref="F211">IF($B211="","",IFERROR(INDEX('02_DS_Nhan_Viec'!$E:$E,MATCH($B211,'02_DS_Nhan_Viec'!$B:$B,0)),""))</f>
      </c>
      <c r="G211" s="68">
        <f t="shared" si="1"/>
      </c>
      <c r="H211" s="68">
        <f t="shared" si="2"/>
      </c>
      <c r="I211" s="68"/>
      <c r="J211" s="61"/>
      <c r="K211" s="61"/>
      <c r="L211" s="61"/>
      <c r="M211" s="61"/>
      <c r="N211" s="61"/>
      <c r="O211" s="61"/>
      <c r="P211" s="92"/>
      <c r="Q211" s="92"/>
      <c r="R211" s="93">
        <f t="shared" si="3"/>
      </c>
      <c r="S211" s="61"/>
      <c r="T211" s="61"/>
      <c r="U211" s="61"/>
      <c r="V211" s="61"/>
      <c r="W211" s="61">
        <f t="shared" si="4"/>
      </c>
      <c r="X211" s="94">
        <f t="shared" si="5"/>
      </c>
      <c r="Y211" s="94">
        <f t="shared" si="6"/>
      </c>
      <c r="Z211" s="61"/>
      <c r="AA211" s="61"/>
      <c r="AB211" s="61"/>
      <c r="AC211" s="61"/>
      <c r="AD211" s="61"/>
      <c r="AE211" s="61"/>
      <c r="AF211" s="61"/>
      <c r="AG211" s="61"/>
      <c r="AH211" s="61"/>
      <c r="AI211" s="61"/>
      <c r="AJ211" s="61"/>
      <c r="AK211" s="61"/>
      <c r="AL211" s="95"/>
      <c r="AM211" s="61"/>
      <c r="AN211" s="61"/>
      <c r="AO211" s="68"/>
      <c r="AP211" s="61"/>
      <c r="AQ211" s="61"/>
      <c r="AR211" s="61"/>
      <c r="AS211" s="61"/>
      <c r="AT211" s="61"/>
      <c r="AU211" s="61"/>
      <c r="AV211" s="92"/>
      <c r="AW211" s="92"/>
      <c r="AX211" s="93">
        <f t="shared" si="7"/>
      </c>
      <c r="AY211" s="61"/>
      <c r="AZ211" s="61"/>
      <c r="BA211" s="61"/>
      <c r="BB211" s="61"/>
      <c r="BC211" s="61">
        <f t="shared" si="11"/>
      </c>
      <c r="BD211" s="94">
        <f t="shared" si="12"/>
      </c>
      <c r="BE211" s="94">
        <f t="shared" si="13"/>
      </c>
      <c r="BF211" s="61"/>
      <c r="BG211" s="61"/>
      <c r="BH211" s="61"/>
      <c r="BI211" s="61"/>
      <c r="BJ211" s="61"/>
      <c r="BK211" s="61"/>
      <c r="BL211" s="61"/>
      <c r="BM211" s="61"/>
      <c r="BN211" s="61"/>
      <c r="BO211" s="61"/>
      <c r="BP211" s="61"/>
      <c r="BQ211" s="61"/>
      <c r="BR211" s="95"/>
      <c r="BS211" s="61"/>
      <c r="BT211" s="61"/>
    </row>
    <row r="212" ht="14.25" customHeight="1" spans="1:72" x14ac:dyDescent="0.25">
      <c r="A212" s="61">
        <f t="shared" si="0"/>
      </c>
      <c r="B212" s="61">
        <f t="array" ref="B212">IFERROR(INDEX('02_DS_Nhan_Viec'!$B:$B,MATCH(ROW()-1,'02_DS_Nhan_Viec'!$M:$M,0)),"")</f>
      </c>
      <c r="C212" s="61">
        <f t="array" ref="C212">IF($B212="","",IFERROR(INDEX('01_UngVien_PhongVan'!$D:$D,MATCH($B212,'01_UngVien_PhongVan'!$B:$B,0)),"Không tìm thấy mã ứng viên"))</f>
      </c>
      <c r="D212" s="61">
        <f t="array" ref="D212">IF($B212="","",IFERROR(INDEX('01_UngVien_PhongVan'!$R:$R,MATCH($B212,'01_UngVien_PhongVan'!$B:$B,0)),""))</f>
      </c>
      <c r="E212" s="61">
        <f t="array" ref="E212">IF($B212="","",IFERROR(INDEX('02_DS_Nhan_Viec'!$H:$H,MATCH($B212,'02_DS_Nhan_Viec'!$B:$B,0)),""))</f>
      </c>
      <c r="F212" s="68">
        <f t="array" ref="F212">IF($B212="","",IFERROR(INDEX('02_DS_Nhan_Viec'!$E:$E,MATCH($B212,'02_DS_Nhan_Viec'!$B:$B,0)),""))</f>
      </c>
      <c r="G212" s="68">
        <f t="shared" si="1"/>
      </c>
      <c r="H212" s="68">
        <f t="shared" si="2"/>
      </c>
      <c r="I212" s="68"/>
      <c r="J212" s="61"/>
      <c r="K212" s="61"/>
      <c r="L212" s="61"/>
      <c r="M212" s="61"/>
      <c r="N212" s="61"/>
      <c r="O212" s="61"/>
      <c r="P212" s="92"/>
      <c r="Q212" s="92"/>
      <c r="R212" s="93">
        <f t="shared" si="3"/>
      </c>
      <c r="S212" s="61"/>
      <c r="T212" s="61"/>
      <c r="U212" s="61"/>
      <c r="V212" s="61"/>
      <c r="W212" s="61">
        <f t="shared" si="4"/>
      </c>
      <c r="X212" s="94">
        <f t="shared" si="5"/>
      </c>
      <c r="Y212" s="94">
        <f t="shared" si="6"/>
      </c>
      <c r="Z212" s="61"/>
      <c r="AA212" s="61"/>
      <c r="AB212" s="61"/>
      <c r="AC212" s="61"/>
      <c r="AD212" s="61"/>
      <c r="AE212" s="61"/>
      <c r="AF212" s="61"/>
      <c r="AG212" s="61"/>
      <c r="AH212" s="61"/>
      <c r="AI212" s="61"/>
      <c r="AJ212" s="61"/>
      <c r="AK212" s="61"/>
      <c r="AL212" s="95"/>
      <c r="AM212" s="61"/>
      <c r="AN212" s="61"/>
      <c r="AO212" s="68"/>
      <c r="AP212" s="61"/>
      <c r="AQ212" s="61"/>
      <c r="AR212" s="61"/>
      <c r="AS212" s="61"/>
      <c r="AT212" s="61"/>
      <c r="AU212" s="61"/>
      <c r="AV212" s="92"/>
      <c r="AW212" s="92"/>
      <c r="AX212" s="93">
        <f t="shared" si="7"/>
      </c>
      <c r="AY212" s="61"/>
      <c r="AZ212" s="61"/>
      <c r="BA212" s="61"/>
      <c r="BB212" s="61"/>
      <c r="BC212" s="61">
        <f t="shared" si="11"/>
      </c>
      <c r="BD212" s="94">
        <f t="shared" si="12"/>
      </c>
      <c r="BE212" s="94">
        <f t="shared" si="13"/>
      </c>
      <c r="BF212" s="61"/>
      <c r="BG212" s="61"/>
      <c r="BH212" s="61"/>
      <c r="BI212" s="61"/>
      <c r="BJ212" s="61"/>
      <c r="BK212" s="61"/>
      <c r="BL212" s="61"/>
      <c r="BM212" s="61"/>
      <c r="BN212" s="61"/>
      <c r="BO212" s="61"/>
      <c r="BP212" s="61"/>
      <c r="BQ212" s="61"/>
      <c r="BR212" s="95"/>
      <c r="BS212" s="61"/>
      <c r="BT212" s="61"/>
    </row>
    <row r="213" ht="14.25" customHeight="1" spans="1:72" x14ac:dyDescent="0.25">
      <c r="A213" s="61">
        <f t="shared" si="0"/>
      </c>
      <c r="B213" s="61">
        <f t="array" ref="B213">IFERROR(INDEX('02_DS_Nhan_Viec'!$B:$B,MATCH(ROW()-1,'02_DS_Nhan_Viec'!$M:$M,0)),"")</f>
      </c>
      <c r="C213" s="61">
        <f t="array" ref="C213">IF($B213="","",IFERROR(INDEX('01_UngVien_PhongVan'!$D:$D,MATCH($B213,'01_UngVien_PhongVan'!$B:$B,0)),"Không tìm thấy mã ứng viên"))</f>
      </c>
      <c r="D213" s="61">
        <f t="array" ref="D213">IF($B213="","",IFERROR(INDEX('01_UngVien_PhongVan'!$R:$R,MATCH($B213,'01_UngVien_PhongVan'!$B:$B,0)),""))</f>
      </c>
      <c r="E213" s="61">
        <f t="array" ref="E213">IF($B213="","",IFERROR(INDEX('02_DS_Nhan_Viec'!$H:$H,MATCH($B213,'02_DS_Nhan_Viec'!$B:$B,0)),""))</f>
      </c>
      <c r="F213" s="68">
        <f t="array" ref="F213">IF($B213="","",IFERROR(INDEX('02_DS_Nhan_Viec'!$E:$E,MATCH($B213,'02_DS_Nhan_Viec'!$B:$B,0)),""))</f>
      </c>
      <c r="G213" s="68">
        <f t="shared" si="1"/>
      </c>
      <c r="H213" s="68">
        <f t="shared" si="2"/>
      </c>
      <c r="I213" s="68"/>
      <c r="J213" s="61"/>
      <c r="K213" s="61"/>
      <c r="L213" s="61"/>
      <c r="M213" s="61"/>
      <c r="N213" s="61"/>
      <c r="O213" s="61"/>
      <c r="P213" s="92"/>
      <c r="Q213" s="92"/>
      <c r="R213" s="93">
        <f t="shared" si="3"/>
      </c>
      <c r="S213" s="61"/>
      <c r="T213" s="61"/>
      <c r="U213" s="61"/>
      <c r="V213" s="61"/>
      <c r="W213" s="61">
        <f t="shared" si="4"/>
      </c>
      <c r="X213" s="94">
        <f t="shared" si="5"/>
      </c>
      <c r="Y213" s="94">
        <f t="shared" si="6"/>
      </c>
      <c r="Z213" s="61"/>
      <c r="AA213" s="61"/>
      <c r="AB213" s="61"/>
      <c r="AC213" s="61"/>
      <c r="AD213" s="61"/>
      <c r="AE213" s="61"/>
      <c r="AF213" s="61"/>
      <c r="AG213" s="61"/>
      <c r="AH213" s="61"/>
      <c r="AI213" s="61"/>
      <c r="AJ213" s="61"/>
      <c r="AK213" s="61"/>
      <c r="AL213" s="95"/>
      <c r="AM213" s="61"/>
      <c r="AN213" s="61"/>
      <c r="AO213" s="68"/>
      <c r="AP213" s="61"/>
      <c r="AQ213" s="61"/>
      <c r="AR213" s="61"/>
      <c r="AS213" s="61"/>
      <c r="AT213" s="61"/>
      <c r="AU213" s="61"/>
      <c r="AV213" s="92"/>
      <c r="AW213" s="92"/>
      <c r="AX213" s="93">
        <f t="shared" si="7"/>
      </c>
      <c r="AY213" s="61"/>
      <c r="AZ213" s="61"/>
      <c r="BA213" s="61"/>
      <c r="BB213" s="61"/>
      <c r="BC213" s="61">
        <f t="shared" si="11"/>
      </c>
      <c r="BD213" s="94">
        <f t="shared" si="12"/>
      </c>
      <c r="BE213" s="94">
        <f t="shared" si="13"/>
      </c>
      <c r="BF213" s="61"/>
      <c r="BG213" s="61"/>
      <c r="BH213" s="61"/>
      <c r="BI213" s="61"/>
      <c r="BJ213" s="61"/>
      <c r="BK213" s="61"/>
      <c r="BL213" s="61"/>
      <c r="BM213" s="61"/>
      <c r="BN213" s="61"/>
      <c r="BO213" s="61"/>
      <c r="BP213" s="61"/>
      <c r="BQ213" s="61"/>
      <c r="BR213" s="95"/>
      <c r="BS213" s="61"/>
      <c r="BT213" s="61"/>
    </row>
    <row r="214" ht="14.25" customHeight="1" spans="1:72" x14ac:dyDescent="0.25">
      <c r="A214" s="61">
        <f t="shared" si="0"/>
      </c>
      <c r="B214" s="61">
        <f t="array" ref="B214">IFERROR(INDEX('02_DS_Nhan_Viec'!$B:$B,MATCH(ROW()-1,'02_DS_Nhan_Viec'!$M:$M,0)),"")</f>
      </c>
      <c r="C214" s="61">
        <f t="array" ref="C214">IF($B214="","",IFERROR(INDEX('01_UngVien_PhongVan'!$D:$D,MATCH($B214,'01_UngVien_PhongVan'!$B:$B,0)),"Không tìm thấy mã ứng viên"))</f>
      </c>
      <c r="D214" s="61">
        <f t="array" ref="D214">IF($B214="","",IFERROR(INDEX('01_UngVien_PhongVan'!$R:$R,MATCH($B214,'01_UngVien_PhongVan'!$B:$B,0)),""))</f>
      </c>
      <c r="E214" s="61">
        <f t="array" ref="E214">IF($B214="","",IFERROR(INDEX('02_DS_Nhan_Viec'!$H:$H,MATCH($B214,'02_DS_Nhan_Viec'!$B:$B,0)),""))</f>
      </c>
      <c r="F214" s="68">
        <f t="array" ref="F214">IF($B214="","",IFERROR(INDEX('02_DS_Nhan_Viec'!$E:$E,MATCH($B214,'02_DS_Nhan_Viec'!$B:$B,0)),""))</f>
      </c>
      <c r="G214" s="68">
        <f t="shared" si="1"/>
      </c>
      <c r="H214" s="68">
        <f t="shared" si="2"/>
      </c>
      <c r="I214" s="68"/>
      <c r="J214" s="61"/>
      <c r="K214" s="61"/>
      <c r="L214" s="61"/>
      <c r="M214" s="61"/>
      <c r="N214" s="61"/>
      <c r="O214" s="61"/>
      <c r="P214" s="92"/>
      <c r="Q214" s="92"/>
      <c r="R214" s="93">
        <f t="shared" si="3"/>
      </c>
      <c r="S214" s="61"/>
      <c r="T214" s="61"/>
      <c r="U214" s="61"/>
      <c r="V214" s="61"/>
      <c r="W214" s="61">
        <f t="shared" si="4"/>
      </c>
      <c r="X214" s="94">
        <f t="shared" si="5"/>
      </c>
      <c r="Y214" s="94">
        <f t="shared" si="6"/>
      </c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95"/>
      <c r="AM214" s="61"/>
      <c r="AN214" s="61"/>
      <c r="AO214" s="68"/>
      <c r="AP214" s="61"/>
      <c r="AQ214" s="61"/>
      <c r="AR214" s="61"/>
      <c r="AS214" s="61"/>
      <c r="AT214" s="61"/>
      <c r="AU214" s="61"/>
      <c r="AV214" s="92"/>
      <c r="AW214" s="92"/>
      <c r="AX214" s="93">
        <f t="shared" si="7"/>
      </c>
      <c r="AY214" s="61"/>
      <c r="AZ214" s="61"/>
      <c r="BA214" s="61"/>
      <c r="BB214" s="61"/>
      <c r="BC214" s="61">
        <f t="shared" si="11"/>
      </c>
      <c r="BD214" s="94">
        <f t="shared" si="12"/>
      </c>
      <c r="BE214" s="94">
        <f t="shared" si="13"/>
      </c>
      <c r="BF214" s="61"/>
      <c r="BG214" s="61"/>
      <c r="BH214" s="61"/>
      <c r="BI214" s="61"/>
      <c r="BJ214" s="61"/>
      <c r="BK214" s="61"/>
      <c r="BL214" s="61"/>
      <c r="BM214" s="61"/>
      <c r="BN214" s="61"/>
      <c r="BO214" s="61"/>
      <c r="BP214" s="61"/>
      <c r="BQ214" s="61"/>
      <c r="BR214" s="95"/>
      <c r="BS214" s="61"/>
      <c r="BT214" s="61"/>
    </row>
    <row r="215" ht="14.25" customHeight="1" spans="1:72" x14ac:dyDescent="0.25">
      <c r="A215" s="61">
        <f t="shared" si="0"/>
      </c>
      <c r="B215" s="61">
        <f t="array" ref="B215">IFERROR(INDEX('02_DS_Nhan_Viec'!$B:$B,MATCH(ROW()-1,'02_DS_Nhan_Viec'!$M:$M,0)),"")</f>
      </c>
      <c r="C215" s="61">
        <f t="array" ref="C215">IF($B215="","",IFERROR(INDEX('01_UngVien_PhongVan'!$D:$D,MATCH($B215,'01_UngVien_PhongVan'!$B:$B,0)),"Không tìm thấy mã ứng viên"))</f>
      </c>
      <c r="D215" s="61">
        <f t="array" ref="D215">IF($B215="","",IFERROR(INDEX('01_UngVien_PhongVan'!$R:$R,MATCH($B215,'01_UngVien_PhongVan'!$B:$B,0)),""))</f>
      </c>
      <c r="E215" s="61">
        <f t="array" ref="E215">IF($B215="","",IFERROR(INDEX('02_DS_Nhan_Viec'!$H:$H,MATCH($B215,'02_DS_Nhan_Viec'!$B:$B,0)),""))</f>
      </c>
      <c r="F215" s="68">
        <f t="array" ref="F215">IF($B215="","",IFERROR(INDEX('02_DS_Nhan_Viec'!$E:$E,MATCH($B215,'02_DS_Nhan_Viec'!$B:$B,0)),""))</f>
      </c>
      <c r="G215" s="68">
        <f t="shared" si="1"/>
      </c>
      <c r="H215" s="68">
        <f t="shared" si="2"/>
      </c>
      <c r="I215" s="68"/>
      <c r="J215" s="61"/>
      <c r="K215" s="61"/>
      <c r="L215" s="61"/>
      <c r="M215" s="61"/>
      <c r="N215" s="61"/>
      <c r="O215" s="61"/>
      <c r="P215" s="92"/>
      <c r="Q215" s="92"/>
      <c r="R215" s="93">
        <f t="shared" si="3"/>
      </c>
      <c r="S215" s="61"/>
      <c r="T215" s="61"/>
      <c r="U215" s="61"/>
      <c r="V215" s="61"/>
      <c r="W215" s="61">
        <f t="shared" si="4"/>
      </c>
      <c r="X215" s="94">
        <f t="shared" si="5"/>
      </c>
      <c r="Y215" s="94">
        <f t="shared" si="6"/>
      </c>
      <c r="Z215" s="61"/>
      <c r="AA215" s="61"/>
      <c r="AB215" s="61"/>
      <c r="AC215" s="61"/>
      <c r="AD215" s="61"/>
      <c r="AE215" s="61"/>
      <c r="AF215" s="61"/>
      <c r="AG215" s="61"/>
      <c r="AH215" s="61"/>
      <c r="AI215" s="61"/>
      <c r="AJ215" s="61"/>
      <c r="AK215" s="61"/>
      <c r="AL215" s="95"/>
      <c r="AM215" s="61"/>
      <c r="AN215" s="61"/>
      <c r="AO215" s="68"/>
      <c r="AP215" s="61"/>
      <c r="AQ215" s="61"/>
      <c r="AR215" s="61"/>
      <c r="AS215" s="61"/>
      <c r="AT215" s="61"/>
      <c r="AU215" s="61"/>
      <c r="AV215" s="92"/>
      <c r="AW215" s="92"/>
      <c r="AX215" s="93">
        <f t="shared" si="7"/>
      </c>
      <c r="AY215" s="61"/>
      <c r="AZ215" s="61"/>
      <c r="BA215" s="61"/>
      <c r="BB215" s="61"/>
      <c r="BC215" s="61">
        <f t="shared" si="11"/>
      </c>
      <c r="BD215" s="94">
        <f t="shared" si="12"/>
      </c>
      <c r="BE215" s="94">
        <f t="shared" si="13"/>
      </c>
      <c r="BF215" s="61"/>
      <c r="BG215" s="61"/>
      <c r="BH215" s="61"/>
      <c r="BI215" s="61"/>
      <c r="BJ215" s="61"/>
      <c r="BK215" s="61"/>
      <c r="BL215" s="61"/>
      <c r="BM215" s="61"/>
      <c r="BN215" s="61"/>
      <c r="BO215" s="61"/>
      <c r="BP215" s="61"/>
      <c r="BQ215" s="61"/>
      <c r="BR215" s="95"/>
      <c r="BS215" s="61"/>
      <c r="BT215" s="61"/>
    </row>
    <row r="216" ht="14.25" customHeight="1" spans="1:72" x14ac:dyDescent="0.25">
      <c r="A216" s="61">
        <f t="shared" si="0"/>
      </c>
      <c r="B216" s="61">
        <f t="array" ref="B216">IFERROR(INDEX('02_DS_Nhan_Viec'!$B:$B,MATCH(ROW()-1,'02_DS_Nhan_Viec'!$M:$M,0)),"")</f>
      </c>
      <c r="C216" s="61">
        <f t="array" ref="C216">IF($B216="","",IFERROR(INDEX('01_UngVien_PhongVan'!$D:$D,MATCH($B216,'01_UngVien_PhongVan'!$B:$B,0)),"Không tìm thấy mã ứng viên"))</f>
      </c>
      <c r="D216" s="61">
        <f t="array" ref="D216">IF($B216="","",IFERROR(INDEX('01_UngVien_PhongVan'!$R:$R,MATCH($B216,'01_UngVien_PhongVan'!$B:$B,0)),""))</f>
      </c>
      <c r="E216" s="61">
        <f t="array" ref="E216">IF($B216="","",IFERROR(INDEX('02_DS_Nhan_Viec'!$H:$H,MATCH($B216,'02_DS_Nhan_Viec'!$B:$B,0)),""))</f>
      </c>
      <c r="F216" s="68">
        <f t="array" ref="F216">IF($B216="","",IFERROR(INDEX('02_DS_Nhan_Viec'!$E:$E,MATCH($B216,'02_DS_Nhan_Viec'!$B:$B,0)),""))</f>
      </c>
      <c r="G216" s="68">
        <f t="shared" si="1"/>
      </c>
      <c r="H216" s="68">
        <f t="shared" si="2"/>
      </c>
      <c r="I216" s="68"/>
      <c r="J216" s="61"/>
      <c r="K216" s="61"/>
      <c r="L216" s="61"/>
      <c r="M216" s="61"/>
      <c r="N216" s="61"/>
      <c r="O216" s="61"/>
      <c r="P216" s="92"/>
      <c r="Q216" s="92"/>
      <c r="R216" s="93">
        <f t="shared" si="3"/>
      </c>
      <c r="S216" s="61"/>
      <c r="T216" s="61"/>
      <c r="U216" s="61"/>
      <c r="V216" s="61"/>
      <c r="W216" s="61">
        <f t="shared" si="4"/>
      </c>
      <c r="X216" s="94">
        <f t="shared" si="5"/>
      </c>
      <c r="Y216" s="94">
        <f t="shared" si="6"/>
      </c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 s="61"/>
      <c r="AL216" s="95"/>
      <c r="AM216" s="61"/>
      <c r="AN216" s="61"/>
      <c r="AO216" s="68"/>
      <c r="AP216" s="61"/>
      <c r="AQ216" s="61"/>
      <c r="AR216" s="61"/>
      <c r="AS216" s="61"/>
      <c r="AT216" s="61"/>
      <c r="AU216" s="61"/>
      <c r="AV216" s="92"/>
      <c r="AW216" s="92"/>
      <c r="AX216" s="93">
        <f t="shared" si="7"/>
      </c>
      <c r="AY216" s="61"/>
      <c r="AZ216" s="61"/>
      <c r="BA216" s="61"/>
      <c r="BB216" s="61"/>
      <c r="BC216" s="61">
        <f t="shared" si="11"/>
      </c>
      <c r="BD216" s="94">
        <f t="shared" si="12"/>
      </c>
      <c r="BE216" s="94">
        <f t="shared" si="13"/>
      </c>
      <c r="BF216" s="61"/>
      <c r="BG216" s="61"/>
      <c r="BH216" s="61"/>
      <c r="BI216" s="61"/>
      <c r="BJ216" s="61"/>
      <c r="BK216" s="61"/>
      <c r="BL216" s="61"/>
      <c r="BM216" s="61"/>
      <c r="BN216" s="61"/>
      <c r="BO216" s="61"/>
      <c r="BP216" s="61"/>
      <c r="BQ216" s="61"/>
      <c r="BR216" s="95"/>
      <c r="BS216" s="61"/>
      <c r="BT216" s="61"/>
    </row>
    <row r="217" ht="14.25" customHeight="1" spans="1:72" x14ac:dyDescent="0.25">
      <c r="A217" s="61">
        <f t="shared" si="0"/>
      </c>
      <c r="B217" s="61">
        <f t="array" ref="B217">IFERROR(INDEX('02_DS_Nhan_Viec'!$B:$B,MATCH(ROW()-1,'02_DS_Nhan_Viec'!$M:$M,0)),"")</f>
      </c>
      <c r="C217" s="61">
        <f t="array" ref="C217">IF($B217="","",IFERROR(INDEX('01_UngVien_PhongVan'!$D:$D,MATCH($B217,'01_UngVien_PhongVan'!$B:$B,0)),"Không tìm thấy mã ứng viên"))</f>
      </c>
      <c r="D217" s="61">
        <f t="array" ref="D217">IF($B217="","",IFERROR(INDEX('01_UngVien_PhongVan'!$R:$R,MATCH($B217,'01_UngVien_PhongVan'!$B:$B,0)),""))</f>
      </c>
      <c r="E217" s="61">
        <f t="array" ref="E217">IF($B217="","",IFERROR(INDEX('02_DS_Nhan_Viec'!$H:$H,MATCH($B217,'02_DS_Nhan_Viec'!$B:$B,0)),""))</f>
      </c>
      <c r="F217" s="68">
        <f t="array" ref="F217">IF($B217="","",IFERROR(INDEX('02_DS_Nhan_Viec'!$E:$E,MATCH($B217,'02_DS_Nhan_Viec'!$B:$B,0)),""))</f>
      </c>
      <c r="G217" s="68">
        <f t="shared" si="1"/>
      </c>
      <c r="H217" s="68">
        <f t="shared" si="2"/>
      </c>
      <c r="I217" s="68"/>
      <c r="J217" s="61"/>
      <c r="K217" s="61"/>
      <c r="L217" s="61"/>
      <c r="M217" s="61"/>
      <c r="N217" s="61"/>
      <c r="O217" s="61"/>
      <c r="P217" s="92"/>
      <c r="Q217" s="92"/>
      <c r="R217" s="93">
        <f t="shared" si="3"/>
      </c>
      <c r="S217" s="61"/>
      <c r="T217" s="61"/>
      <c r="U217" s="61"/>
      <c r="V217" s="61"/>
      <c r="W217" s="61">
        <f t="shared" si="4"/>
      </c>
      <c r="X217" s="94">
        <f t="shared" si="5"/>
      </c>
      <c r="Y217" s="94">
        <f t="shared" si="6"/>
      </c>
      <c r="Z217" s="61"/>
      <c r="AA217" s="61"/>
      <c r="AB217" s="61"/>
      <c r="AC217" s="61"/>
      <c r="AD217" s="61"/>
      <c r="AE217" s="61"/>
      <c r="AF217" s="61"/>
      <c r="AG217" s="61"/>
      <c r="AH217" s="61"/>
      <c r="AI217" s="61"/>
      <c r="AJ217" s="61"/>
      <c r="AK217" s="61"/>
      <c r="AL217" s="95"/>
      <c r="AM217" s="61"/>
      <c r="AN217" s="61"/>
      <c r="AO217" s="68"/>
      <c r="AP217" s="61"/>
      <c r="AQ217" s="61"/>
      <c r="AR217" s="61"/>
      <c r="AS217" s="61"/>
      <c r="AT217" s="61"/>
      <c r="AU217" s="61"/>
      <c r="AV217" s="92"/>
      <c r="AW217" s="92"/>
      <c r="AX217" s="93">
        <f t="shared" si="7"/>
      </c>
      <c r="AY217" s="61"/>
      <c r="AZ217" s="61"/>
      <c r="BA217" s="61"/>
      <c r="BB217" s="61"/>
      <c r="BC217" s="61">
        <f t="shared" si="11"/>
      </c>
      <c r="BD217" s="94">
        <f t="shared" si="12"/>
      </c>
      <c r="BE217" s="94">
        <f t="shared" si="13"/>
      </c>
      <c r="BF217" s="61"/>
      <c r="BG217" s="61"/>
      <c r="BH217" s="61"/>
      <c r="BI217" s="61"/>
      <c r="BJ217" s="61"/>
      <c r="BK217" s="61"/>
      <c r="BL217" s="61"/>
      <c r="BM217" s="61"/>
      <c r="BN217" s="61"/>
      <c r="BO217" s="61"/>
      <c r="BP217" s="61"/>
      <c r="BQ217" s="61"/>
      <c r="BR217" s="95"/>
      <c r="BS217" s="61"/>
      <c r="BT217" s="61"/>
    </row>
    <row r="218" ht="14.25" customHeight="1" spans="1:72" x14ac:dyDescent="0.25">
      <c r="A218" s="61">
        <f t="shared" si="0"/>
      </c>
      <c r="B218" s="61">
        <f t="array" ref="B218">IFERROR(INDEX('02_DS_Nhan_Viec'!$B:$B,MATCH(ROW()-1,'02_DS_Nhan_Viec'!$M:$M,0)),"")</f>
      </c>
      <c r="C218" s="61">
        <f t="array" ref="C218">IF($B218="","",IFERROR(INDEX('01_UngVien_PhongVan'!$D:$D,MATCH($B218,'01_UngVien_PhongVan'!$B:$B,0)),"Không tìm thấy mã ứng viên"))</f>
      </c>
      <c r="D218" s="61">
        <f t="array" ref="D218">IF($B218="","",IFERROR(INDEX('01_UngVien_PhongVan'!$R:$R,MATCH($B218,'01_UngVien_PhongVan'!$B:$B,0)),""))</f>
      </c>
      <c r="E218" s="61">
        <f t="array" ref="E218">IF($B218="","",IFERROR(INDEX('02_DS_Nhan_Viec'!$H:$H,MATCH($B218,'02_DS_Nhan_Viec'!$B:$B,0)),""))</f>
      </c>
      <c r="F218" s="68">
        <f t="array" ref="F218">IF($B218="","",IFERROR(INDEX('02_DS_Nhan_Viec'!$E:$E,MATCH($B218,'02_DS_Nhan_Viec'!$B:$B,0)),""))</f>
      </c>
      <c r="G218" s="68">
        <f t="shared" si="1"/>
      </c>
      <c r="H218" s="68">
        <f t="shared" si="2"/>
      </c>
      <c r="I218" s="68"/>
      <c r="J218" s="61"/>
      <c r="K218" s="61"/>
      <c r="L218" s="61"/>
      <c r="M218" s="61"/>
      <c r="N218" s="61"/>
      <c r="O218" s="61"/>
      <c r="P218" s="92"/>
      <c r="Q218" s="92"/>
      <c r="R218" s="93">
        <f t="shared" si="3"/>
      </c>
      <c r="S218" s="61"/>
      <c r="T218" s="61"/>
      <c r="U218" s="61"/>
      <c r="V218" s="61"/>
      <c r="W218" s="61">
        <f t="shared" si="4"/>
      </c>
      <c r="X218" s="94">
        <f t="shared" si="5"/>
      </c>
      <c r="Y218" s="94">
        <f t="shared" si="6"/>
      </c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95"/>
      <c r="AM218" s="61"/>
      <c r="AN218" s="61"/>
      <c r="AO218" s="68"/>
      <c r="AP218" s="61"/>
      <c r="AQ218" s="61"/>
      <c r="AR218" s="61"/>
      <c r="AS218" s="61"/>
      <c r="AT218" s="61"/>
      <c r="AU218" s="61"/>
      <c r="AV218" s="92"/>
      <c r="AW218" s="92"/>
      <c r="AX218" s="93">
        <f t="shared" si="7"/>
      </c>
      <c r="AY218" s="61"/>
      <c r="AZ218" s="61"/>
      <c r="BA218" s="61"/>
      <c r="BB218" s="61"/>
      <c r="BC218" s="61">
        <f t="shared" si="11"/>
      </c>
      <c r="BD218" s="94">
        <f t="shared" si="12"/>
      </c>
      <c r="BE218" s="94">
        <f t="shared" si="13"/>
      </c>
      <c r="BF218" s="61"/>
      <c r="BG218" s="61"/>
      <c r="BH218" s="61"/>
      <c r="BI218" s="61"/>
      <c r="BJ218" s="61"/>
      <c r="BK218" s="61"/>
      <c r="BL218" s="61"/>
      <c r="BM218" s="61"/>
      <c r="BN218" s="61"/>
      <c r="BO218" s="61"/>
      <c r="BP218" s="61"/>
      <c r="BQ218" s="61"/>
      <c r="BR218" s="95"/>
      <c r="BS218" s="61"/>
      <c r="BT218" s="61"/>
    </row>
    <row r="219" ht="14.25" customHeight="1" spans="1:72" x14ac:dyDescent="0.25">
      <c r="A219" s="61">
        <f t="shared" si="0"/>
      </c>
      <c r="B219" s="61">
        <f t="array" ref="B219">IFERROR(INDEX('02_DS_Nhan_Viec'!$B:$B,MATCH(ROW()-1,'02_DS_Nhan_Viec'!$M:$M,0)),"")</f>
      </c>
      <c r="C219" s="61">
        <f t="array" ref="C219">IF($B219="","",IFERROR(INDEX('01_UngVien_PhongVan'!$D:$D,MATCH($B219,'01_UngVien_PhongVan'!$B:$B,0)),"Không tìm thấy mã ứng viên"))</f>
      </c>
      <c r="D219" s="61">
        <f t="array" ref="D219">IF($B219="","",IFERROR(INDEX('01_UngVien_PhongVan'!$R:$R,MATCH($B219,'01_UngVien_PhongVan'!$B:$B,0)),""))</f>
      </c>
      <c r="E219" s="61">
        <f t="array" ref="E219">IF($B219="","",IFERROR(INDEX('02_DS_Nhan_Viec'!$H:$H,MATCH($B219,'02_DS_Nhan_Viec'!$B:$B,0)),""))</f>
      </c>
      <c r="F219" s="68">
        <f t="array" ref="F219">IF($B219="","",IFERROR(INDEX('02_DS_Nhan_Viec'!$E:$E,MATCH($B219,'02_DS_Nhan_Viec'!$B:$B,0)),""))</f>
      </c>
      <c r="G219" s="68">
        <f t="shared" si="1"/>
      </c>
      <c r="H219" s="68">
        <f t="shared" si="2"/>
      </c>
      <c r="I219" s="68"/>
      <c r="J219" s="61"/>
      <c r="K219" s="61"/>
      <c r="L219" s="61"/>
      <c r="M219" s="61"/>
      <c r="N219" s="61"/>
      <c r="O219" s="61"/>
      <c r="P219" s="92"/>
      <c r="Q219" s="92"/>
      <c r="R219" s="93">
        <f t="shared" si="3"/>
      </c>
      <c r="S219" s="61"/>
      <c r="T219" s="61"/>
      <c r="U219" s="61"/>
      <c r="V219" s="61"/>
      <c r="W219" s="61">
        <f t="shared" si="4"/>
      </c>
      <c r="X219" s="94">
        <f t="shared" si="5"/>
      </c>
      <c r="Y219" s="94">
        <f t="shared" si="6"/>
      </c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 s="61"/>
      <c r="AL219" s="95"/>
      <c r="AM219" s="61"/>
      <c r="AN219" s="61"/>
      <c r="AO219" s="68"/>
      <c r="AP219" s="61"/>
      <c r="AQ219" s="61"/>
      <c r="AR219" s="61"/>
      <c r="AS219" s="61"/>
      <c r="AT219" s="61"/>
      <c r="AU219" s="61"/>
      <c r="AV219" s="92"/>
      <c r="AW219" s="92"/>
      <c r="AX219" s="93">
        <f t="shared" si="7"/>
      </c>
      <c r="AY219" s="61"/>
      <c r="AZ219" s="61"/>
      <c r="BA219" s="61"/>
      <c r="BB219" s="61"/>
      <c r="BC219" s="61">
        <f t="shared" si="11"/>
      </c>
      <c r="BD219" s="94">
        <f t="shared" si="12"/>
      </c>
      <c r="BE219" s="94">
        <f t="shared" si="13"/>
      </c>
      <c r="BF219" s="61"/>
      <c r="BG219" s="61"/>
      <c r="BH219" s="61"/>
      <c r="BI219" s="61"/>
      <c r="BJ219" s="61"/>
      <c r="BK219" s="61"/>
      <c r="BL219" s="61"/>
      <c r="BM219" s="61"/>
      <c r="BN219" s="61"/>
      <c r="BO219" s="61"/>
      <c r="BP219" s="61"/>
      <c r="BQ219" s="61"/>
      <c r="BR219" s="95"/>
      <c r="BS219" s="61"/>
      <c r="BT219" s="61"/>
    </row>
    <row r="220" ht="14.25" customHeight="1" spans="1:72" x14ac:dyDescent="0.25">
      <c r="A220" s="61">
        <f t="shared" si="0"/>
      </c>
      <c r="B220" s="61">
        <f t="array" ref="B220">IFERROR(INDEX('02_DS_Nhan_Viec'!$B:$B,MATCH(ROW()-1,'02_DS_Nhan_Viec'!$M:$M,0)),"")</f>
      </c>
      <c r="C220" s="61">
        <f t="array" ref="C220">IF($B220="","",IFERROR(INDEX('01_UngVien_PhongVan'!$D:$D,MATCH($B220,'01_UngVien_PhongVan'!$B:$B,0)),"Không tìm thấy mã ứng viên"))</f>
      </c>
      <c r="D220" s="61">
        <f t="array" ref="D220">IF($B220="","",IFERROR(INDEX('01_UngVien_PhongVan'!$R:$R,MATCH($B220,'01_UngVien_PhongVan'!$B:$B,0)),""))</f>
      </c>
      <c r="E220" s="61">
        <f t="array" ref="E220">IF($B220="","",IFERROR(INDEX('02_DS_Nhan_Viec'!$H:$H,MATCH($B220,'02_DS_Nhan_Viec'!$B:$B,0)),""))</f>
      </c>
      <c r="F220" s="68">
        <f t="array" ref="F220">IF($B220="","",IFERROR(INDEX('02_DS_Nhan_Viec'!$E:$E,MATCH($B220,'02_DS_Nhan_Viec'!$B:$B,0)),""))</f>
      </c>
      <c r="G220" s="68">
        <f t="shared" si="1"/>
      </c>
      <c r="H220" s="68">
        <f t="shared" si="2"/>
      </c>
      <c r="I220" s="68"/>
      <c r="J220" s="61"/>
      <c r="K220" s="61"/>
      <c r="L220" s="61"/>
      <c r="M220" s="61"/>
      <c r="N220" s="61"/>
      <c r="O220" s="61"/>
      <c r="P220" s="92"/>
      <c r="Q220" s="92"/>
      <c r="R220" s="93">
        <f t="shared" si="3"/>
      </c>
      <c r="S220" s="61"/>
      <c r="T220" s="61"/>
      <c r="U220" s="61"/>
      <c r="V220" s="61"/>
      <c r="W220" s="61">
        <f t="shared" si="4"/>
      </c>
      <c r="X220" s="94">
        <f t="shared" si="5"/>
      </c>
      <c r="Y220" s="94">
        <f t="shared" si="6"/>
      </c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95"/>
      <c r="AM220" s="61"/>
      <c r="AN220" s="61"/>
      <c r="AO220" s="68"/>
      <c r="AP220" s="61"/>
      <c r="AQ220" s="61"/>
      <c r="AR220" s="61"/>
      <c r="AS220" s="61"/>
      <c r="AT220" s="61"/>
      <c r="AU220" s="61"/>
      <c r="AV220" s="92"/>
      <c r="AW220" s="92"/>
      <c r="AX220" s="93">
        <f t="shared" si="7"/>
      </c>
      <c r="AY220" s="61"/>
      <c r="AZ220" s="61"/>
      <c r="BA220" s="61"/>
      <c r="BB220" s="61"/>
      <c r="BC220" s="61">
        <f t="shared" si="11"/>
      </c>
      <c r="BD220" s="94">
        <f t="shared" si="12"/>
      </c>
      <c r="BE220" s="94">
        <f t="shared" si="13"/>
      </c>
      <c r="BF220" s="61"/>
      <c r="BG220" s="61"/>
      <c r="BH220" s="61"/>
      <c r="BI220" s="61"/>
      <c r="BJ220" s="61"/>
      <c r="BK220" s="61"/>
      <c r="BL220" s="61"/>
      <c r="BM220" s="61"/>
      <c r="BN220" s="61"/>
      <c r="BO220" s="61"/>
      <c r="BP220" s="61"/>
      <c r="BQ220" s="61"/>
      <c r="BR220" s="95"/>
      <c r="BS220" s="61"/>
      <c r="BT220" s="61"/>
    </row>
    <row r="221" ht="14.25" customHeight="1" spans="1:72" x14ac:dyDescent="0.25">
      <c r="A221" s="61">
        <f t="shared" si="0"/>
      </c>
      <c r="B221" s="61">
        <f t="array" ref="B221">IFERROR(INDEX('02_DS_Nhan_Viec'!$B:$B,MATCH(ROW()-1,'02_DS_Nhan_Viec'!$M:$M,0)),"")</f>
      </c>
      <c r="C221" s="61">
        <f t="array" ref="C221">IF($B221="","",IFERROR(INDEX('01_UngVien_PhongVan'!$D:$D,MATCH($B221,'01_UngVien_PhongVan'!$B:$B,0)),"Không tìm thấy mã ứng viên"))</f>
      </c>
      <c r="D221" s="61">
        <f t="array" ref="D221">IF($B221="","",IFERROR(INDEX('01_UngVien_PhongVan'!$R:$R,MATCH($B221,'01_UngVien_PhongVan'!$B:$B,0)),""))</f>
      </c>
      <c r="E221" s="61">
        <f t="array" ref="E221">IF($B221="","",IFERROR(INDEX('02_DS_Nhan_Viec'!$H:$H,MATCH($B221,'02_DS_Nhan_Viec'!$B:$B,0)),""))</f>
      </c>
      <c r="F221" s="68">
        <f t="array" ref="F221">IF($B221="","",IFERROR(INDEX('02_DS_Nhan_Viec'!$E:$E,MATCH($B221,'02_DS_Nhan_Viec'!$B:$B,0)),""))</f>
      </c>
      <c r="G221" s="68">
        <f t="shared" si="1"/>
      </c>
      <c r="H221" s="68">
        <f t="shared" si="2"/>
      </c>
      <c r="I221" s="68"/>
      <c r="J221" s="61"/>
      <c r="K221" s="61"/>
      <c r="L221" s="61"/>
      <c r="M221" s="61"/>
      <c r="N221" s="61"/>
      <c r="O221" s="61"/>
      <c r="P221" s="92"/>
      <c r="Q221" s="92"/>
      <c r="R221" s="93">
        <f t="shared" si="3"/>
      </c>
      <c r="S221" s="61"/>
      <c r="T221" s="61"/>
      <c r="U221" s="61"/>
      <c r="V221" s="61"/>
      <c r="W221" s="61">
        <f t="shared" si="4"/>
      </c>
      <c r="X221" s="94">
        <f t="shared" si="5"/>
      </c>
      <c r="Y221" s="94">
        <f t="shared" si="6"/>
      </c>
      <c r="Z221" s="61"/>
      <c r="AA221" s="61"/>
      <c r="AB221" s="61"/>
      <c r="AC221" s="61"/>
      <c r="AD221" s="61"/>
      <c r="AE221" s="61"/>
      <c r="AF221" s="61"/>
      <c r="AG221" s="61"/>
      <c r="AH221" s="61"/>
      <c r="AI221" s="61"/>
      <c r="AJ221" s="61"/>
      <c r="AK221" s="61"/>
      <c r="AL221" s="95"/>
      <c r="AM221" s="61"/>
      <c r="AN221" s="61"/>
      <c r="AO221" s="68"/>
      <c r="AP221" s="61"/>
      <c r="AQ221" s="61"/>
      <c r="AR221" s="61"/>
      <c r="AS221" s="61"/>
      <c r="AT221" s="61"/>
      <c r="AU221" s="61"/>
      <c r="AV221" s="92"/>
      <c r="AW221" s="92"/>
      <c r="AX221" s="93">
        <f t="shared" si="7"/>
      </c>
      <c r="AY221" s="61"/>
      <c r="AZ221" s="61"/>
      <c r="BA221" s="61"/>
      <c r="BB221" s="61"/>
      <c r="BC221" s="61">
        <f t="shared" si="11"/>
      </c>
      <c r="BD221" s="94">
        <f t="shared" si="12"/>
      </c>
      <c r="BE221" s="94">
        <f t="shared" si="13"/>
      </c>
      <c r="BF221" s="61"/>
      <c r="BG221" s="61"/>
      <c r="BH221" s="61"/>
      <c r="BI221" s="61"/>
      <c r="BJ221" s="61"/>
      <c r="BK221" s="61"/>
      <c r="BL221" s="61"/>
      <c r="BM221" s="61"/>
      <c r="BN221" s="61"/>
      <c r="BO221" s="61"/>
      <c r="BP221" s="61"/>
      <c r="BQ221" s="61"/>
      <c r="BR221" s="95"/>
      <c r="BS221" s="61"/>
      <c r="BT221" s="61"/>
    </row>
    <row r="222" ht="14.25" customHeight="1" spans="1:72" x14ac:dyDescent="0.25">
      <c r="A222" s="61">
        <f t="shared" si="0"/>
      </c>
      <c r="B222" s="61">
        <f t="array" ref="B222">IFERROR(INDEX('02_DS_Nhan_Viec'!$B:$B,MATCH(ROW()-1,'02_DS_Nhan_Viec'!$M:$M,0)),"")</f>
      </c>
      <c r="C222" s="61">
        <f t="array" ref="C222">IF($B222="","",IFERROR(INDEX('01_UngVien_PhongVan'!$D:$D,MATCH($B222,'01_UngVien_PhongVan'!$B:$B,0)),"Không tìm thấy mã ứng viên"))</f>
      </c>
      <c r="D222" s="61">
        <f t="array" ref="D222">IF($B222="","",IFERROR(INDEX('01_UngVien_PhongVan'!$R:$R,MATCH($B222,'01_UngVien_PhongVan'!$B:$B,0)),""))</f>
      </c>
      <c r="E222" s="61">
        <f t="array" ref="E222">IF($B222="","",IFERROR(INDEX('02_DS_Nhan_Viec'!$H:$H,MATCH($B222,'02_DS_Nhan_Viec'!$B:$B,0)),""))</f>
      </c>
      <c r="F222" s="68">
        <f t="array" ref="F222">IF($B222="","",IFERROR(INDEX('02_DS_Nhan_Viec'!$E:$E,MATCH($B222,'02_DS_Nhan_Viec'!$B:$B,0)),""))</f>
      </c>
      <c r="G222" s="68">
        <f t="shared" si="1"/>
      </c>
      <c r="H222" s="68">
        <f t="shared" si="2"/>
      </c>
      <c r="I222" s="68"/>
      <c r="J222" s="61"/>
      <c r="K222" s="61"/>
      <c r="L222" s="61"/>
      <c r="M222" s="61"/>
      <c r="N222" s="61"/>
      <c r="O222" s="61"/>
      <c r="P222" s="92"/>
      <c r="Q222" s="92"/>
      <c r="R222" s="93">
        <f t="shared" si="3"/>
      </c>
      <c r="S222" s="61"/>
      <c r="T222" s="61"/>
      <c r="U222" s="61"/>
      <c r="V222" s="61"/>
      <c r="W222" s="61">
        <f t="shared" si="4"/>
      </c>
      <c r="X222" s="94">
        <f t="shared" si="5"/>
      </c>
      <c r="Y222" s="94">
        <f t="shared" si="6"/>
      </c>
      <c r="Z222" s="61"/>
      <c r="AA222" s="61"/>
      <c r="AB222" s="61"/>
      <c r="AC222" s="61"/>
      <c r="AD222" s="61"/>
      <c r="AE222" s="61"/>
      <c r="AF222" s="61"/>
      <c r="AG222" s="61"/>
      <c r="AH222" s="61"/>
      <c r="AI222" s="61"/>
      <c r="AJ222" s="61"/>
      <c r="AK222" s="61"/>
      <c r="AL222" s="95"/>
      <c r="AM222" s="61"/>
      <c r="AN222" s="61"/>
      <c r="AO222" s="68"/>
      <c r="AP222" s="61"/>
      <c r="AQ222" s="61"/>
      <c r="AR222" s="61"/>
      <c r="AS222" s="61"/>
      <c r="AT222" s="61"/>
      <c r="AU222" s="61"/>
      <c r="AV222" s="92"/>
      <c r="AW222" s="92"/>
      <c r="AX222" s="93">
        <f t="shared" si="7"/>
      </c>
      <c r="AY222" s="61"/>
      <c r="AZ222" s="61"/>
      <c r="BA222" s="61"/>
      <c r="BB222" s="61"/>
      <c r="BC222" s="61">
        <f t="shared" si="11"/>
      </c>
      <c r="BD222" s="94">
        <f t="shared" si="12"/>
      </c>
      <c r="BE222" s="94">
        <f t="shared" si="13"/>
      </c>
      <c r="BF222" s="61"/>
      <c r="BG222" s="61"/>
      <c r="BH222" s="61"/>
      <c r="BI222" s="61"/>
      <c r="BJ222" s="61"/>
      <c r="BK222" s="61"/>
      <c r="BL222" s="61"/>
      <c r="BM222" s="61"/>
      <c r="BN222" s="61"/>
      <c r="BO222" s="61"/>
      <c r="BP222" s="61"/>
      <c r="BQ222" s="61"/>
      <c r="BR222" s="95"/>
      <c r="BS222" s="61"/>
      <c r="BT222" s="61"/>
    </row>
    <row r="223" ht="14.25" customHeight="1" spans="1:72" x14ac:dyDescent="0.25">
      <c r="A223" s="61">
        <f t="shared" si="0"/>
      </c>
      <c r="B223" s="61">
        <f t="array" ref="B223">IFERROR(INDEX('02_DS_Nhan_Viec'!$B:$B,MATCH(ROW()-1,'02_DS_Nhan_Viec'!$M:$M,0)),"")</f>
      </c>
      <c r="C223" s="61">
        <f t="array" ref="C223">IF($B223="","",IFERROR(INDEX('01_UngVien_PhongVan'!$D:$D,MATCH($B223,'01_UngVien_PhongVan'!$B:$B,0)),"Không tìm thấy mã ứng viên"))</f>
      </c>
      <c r="D223" s="61">
        <f t="array" ref="D223">IF($B223="","",IFERROR(INDEX('01_UngVien_PhongVan'!$R:$R,MATCH($B223,'01_UngVien_PhongVan'!$B:$B,0)),""))</f>
      </c>
      <c r="E223" s="61">
        <f t="array" ref="E223">IF($B223="","",IFERROR(INDEX('02_DS_Nhan_Viec'!$H:$H,MATCH($B223,'02_DS_Nhan_Viec'!$B:$B,0)),""))</f>
      </c>
      <c r="F223" s="68">
        <f t="array" ref="F223">IF($B223="","",IFERROR(INDEX('02_DS_Nhan_Viec'!$E:$E,MATCH($B223,'02_DS_Nhan_Viec'!$B:$B,0)),""))</f>
      </c>
      <c r="G223" s="68">
        <f t="shared" si="1"/>
      </c>
      <c r="H223" s="68">
        <f t="shared" si="2"/>
      </c>
      <c r="I223" s="68"/>
      <c r="J223" s="61"/>
      <c r="K223" s="61"/>
      <c r="L223" s="61"/>
      <c r="M223" s="61"/>
      <c r="N223" s="61"/>
      <c r="O223" s="61"/>
      <c r="P223" s="92"/>
      <c r="Q223" s="92"/>
      <c r="R223" s="93">
        <f t="shared" si="3"/>
      </c>
      <c r="S223" s="61"/>
      <c r="T223" s="61"/>
      <c r="U223" s="61"/>
      <c r="V223" s="61"/>
      <c r="W223" s="61">
        <f t="shared" si="4"/>
      </c>
      <c r="X223" s="94">
        <f t="shared" si="5"/>
      </c>
      <c r="Y223" s="94">
        <f t="shared" si="6"/>
      </c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 s="61"/>
      <c r="AL223" s="95"/>
      <c r="AM223" s="61"/>
      <c r="AN223" s="61"/>
      <c r="AO223" s="68"/>
      <c r="AP223" s="61"/>
      <c r="AQ223" s="61"/>
      <c r="AR223" s="61"/>
      <c r="AS223" s="61"/>
      <c r="AT223" s="61"/>
      <c r="AU223" s="61"/>
      <c r="AV223" s="92"/>
      <c r="AW223" s="92"/>
      <c r="AX223" s="93">
        <f t="shared" si="7"/>
      </c>
      <c r="AY223" s="61"/>
      <c r="AZ223" s="61"/>
      <c r="BA223" s="61"/>
      <c r="BB223" s="61"/>
      <c r="BC223" s="61">
        <f t="shared" si="11"/>
      </c>
      <c r="BD223" s="94">
        <f t="shared" si="12"/>
      </c>
      <c r="BE223" s="94">
        <f t="shared" si="13"/>
      </c>
      <c r="BF223" s="61"/>
      <c r="BG223" s="61"/>
      <c r="BH223" s="61"/>
      <c r="BI223" s="61"/>
      <c r="BJ223" s="61"/>
      <c r="BK223" s="61"/>
      <c r="BL223" s="61"/>
      <c r="BM223" s="61"/>
      <c r="BN223" s="61"/>
      <c r="BO223" s="61"/>
      <c r="BP223" s="61"/>
      <c r="BQ223" s="61"/>
      <c r="BR223" s="95"/>
      <c r="BS223" s="61"/>
      <c r="BT223" s="61"/>
    </row>
    <row r="224" ht="14.25" customHeight="1" spans="1:72" x14ac:dyDescent="0.25">
      <c r="A224" s="61">
        <f t="shared" si="0"/>
      </c>
      <c r="B224" s="61">
        <f t="array" ref="B224">IFERROR(INDEX('02_DS_Nhan_Viec'!$B:$B,MATCH(ROW()-1,'02_DS_Nhan_Viec'!$M:$M,0)),"")</f>
      </c>
      <c r="C224" s="61">
        <f t="array" ref="C224">IF($B224="","",IFERROR(INDEX('01_UngVien_PhongVan'!$D:$D,MATCH($B224,'01_UngVien_PhongVan'!$B:$B,0)),"Không tìm thấy mã ứng viên"))</f>
      </c>
      <c r="D224" s="61">
        <f t="array" ref="D224">IF($B224="","",IFERROR(INDEX('01_UngVien_PhongVan'!$R:$R,MATCH($B224,'01_UngVien_PhongVan'!$B:$B,0)),""))</f>
      </c>
      <c r="E224" s="61">
        <f t="array" ref="E224">IF($B224="","",IFERROR(INDEX('02_DS_Nhan_Viec'!$H:$H,MATCH($B224,'02_DS_Nhan_Viec'!$B:$B,0)),""))</f>
      </c>
      <c r="F224" s="68">
        <f t="array" ref="F224">IF($B224="","",IFERROR(INDEX('02_DS_Nhan_Viec'!$E:$E,MATCH($B224,'02_DS_Nhan_Viec'!$B:$B,0)),""))</f>
      </c>
      <c r="G224" s="68">
        <f t="shared" si="1"/>
      </c>
      <c r="H224" s="68">
        <f t="shared" si="2"/>
      </c>
      <c r="I224" s="68"/>
      <c r="J224" s="61"/>
      <c r="K224" s="61"/>
      <c r="L224" s="61"/>
      <c r="M224" s="61"/>
      <c r="N224" s="61"/>
      <c r="O224" s="61"/>
      <c r="P224" s="92"/>
      <c r="Q224" s="92"/>
      <c r="R224" s="93">
        <f t="shared" si="3"/>
      </c>
      <c r="S224" s="61"/>
      <c r="T224" s="61"/>
      <c r="U224" s="61"/>
      <c r="V224" s="61"/>
      <c r="W224" s="61">
        <f t="shared" si="4"/>
      </c>
      <c r="X224" s="94">
        <f t="shared" si="5"/>
      </c>
      <c r="Y224" s="94">
        <f t="shared" si="6"/>
      </c>
      <c r="Z224" s="61"/>
      <c r="AA224" s="61"/>
      <c r="AB224" s="61"/>
      <c r="AC224" s="61"/>
      <c r="AD224" s="61"/>
      <c r="AE224" s="61"/>
      <c r="AF224" s="61"/>
      <c r="AG224" s="61"/>
      <c r="AH224" s="61"/>
      <c r="AI224" s="61"/>
      <c r="AJ224" s="61"/>
      <c r="AK224" s="61"/>
      <c r="AL224" s="95"/>
      <c r="AM224" s="61"/>
      <c r="AN224" s="61"/>
      <c r="AO224" s="68"/>
      <c r="AP224" s="61"/>
      <c r="AQ224" s="61"/>
      <c r="AR224" s="61"/>
      <c r="AS224" s="61"/>
      <c r="AT224" s="61"/>
      <c r="AU224" s="61"/>
      <c r="AV224" s="92"/>
      <c r="AW224" s="92"/>
      <c r="AX224" s="93">
        <f t="shared" si="7"/>
      </c>
      <c r="AY224" s="61"/>
      <c r="AZ224" s="61"/>
      <c r="BA224" s="61"/>
      <c r="BB224" s="61"/>
      <c r="BC224" s="61">
        <f t="shared" si="11"/>
      </c>
      <c r="BD224" s="94">
        <f t="shared" si="12"/>
      </c>
      <c r="BE224" s="94">
        <f t="shared" si="13"/>
      </c>
      <c r="BF224" s="61"/>
      <c r="BG224" s="61"/>
      <c r="BH224" s="61"/>
      <c r="BI224" s="61"/>
      <c r="BJ224" s="61"/>
      <c r="BK224" s="61"/>
      <c r="BL224" s="61"/>
      <c r="BM224" s="61"/>
      <c r="BN224" s="61"/>
      <c r="BO224" s="61"/>
      <c r="BP224" s="61"/>
      <c r="BQ224" s="61"/>
      <c r="BR224" s="95"/>
      <c r="BS224" s="61"/>
      <c r="BT224" s="61"/>
    </row>
    <row r="225" ht="14.25" customHeight="1" spans="1:72" x14ac:dyDescent="0.25">
      <c r="A225" s="61">
        <f t="shared" si="0"/>
      </c>
      <c r="B225" s="61">
        <f t="array" ref="B225">IFERROR(INDEX('02_DS_Nhan_Viec'!$B:$B,MATCH(ROW()-1,'02_DS_Nhan_Viec'!$M:$M,0)),"")</f>
      </c>
      <c r="C225" s="61">
        <f t="array" ref="C225">IF($B225="","",IFERROR(INDEX('01_UngVien_PhongVan'!$D:$D,MATCH($B225,'01_UngVien_PhongVan'!$B:$B,0)),"Không tìm thấy mã ứng viên"))</f>
      </c>
      <c r="D225" s="61">
        <f t="array" ref="D225">IF($B225="","",IFERROR(INDEX('01_UngVien_PhongVan'!$R:$R,MATCH($B225,'01_UngVien_PhongVan'!$B:$B,0)),""))</f>
      </c>
      <c r="E225" s="61">
        <f t="array" ref="E225">IF($B225="","",IFERROR(INDEX('02_DS_Nhan_Viec'!$H:$H,MATCH($B225,'02_DS_Nhan_Viec'!$B:$B,0)),""))</f>
      </c>
      <c r="F225" s="68">
        <f t="array" ref="F225">IF($B225="","",IFERROR(INDEX('02_DS_Nhan_Viec'!$E:$E,MATCH($B225,'02_DS_Nhan_Viec'!$B:$B,0)),""))</f>
      </c>
      <c r="G225" s="68">
        <f t="shared" si="1"/>
      </c>
      <c r="H225" s="68">
        <f t="shared" si="2"/>
      </c>
      <c r="I225" s="68"/>
      <c r="J225" s="61"/>
      <c r="K225" s="61"/>
      <c r="L225" s="61"/>
      <c r="M225" s="61"/>
      <c r="N225" s="61"/>
      <c r="O225" s="61"/>
      <c r="P225" s="92"/>
      <c r="Q225" s="92"/>
      <c r="R225" s="93">
        <f t="shared" si="3"/>
      </c>
      <c r="S225" s="61"/>
      <c r="T225" s="61"/>
      <c r="U225" s="61"/>
      <c r="V225" s="61"/>
      <c r="W225" s="61">
        <f t="shared" si="4"/>
      </c>
      <c r="X225" s="94">
        <f t="shared" si="5"/>
      </c>
      <c r="Y225" s="94">
        <f t="shared" si="6"/>
      </c>
      <c r="Z225" s="61"/>
      <c r="AA225" s="61"/>
      <c r="AB225" s="61"/>
      <c r="AC225" s="61"/>
      <c r="AD225" s="61"/>
      <c r="AE225" s="61"/>
      <c r="AF225" s="61"/>
      <c r="AG225" s="61"/>
      <c r="AH225" s="61"/>
      <c r="AI225" s="61"/>
      <c r="AJ225" s="61"/>
      <c r="AK225" s="61"/>
      <c r="AL225" s="95"/>
      <c r="AM225" s="61"/>
      <c r="AN225" s="61"/>
      <c r="AO225" s="68"/>
      <c r="AP225" s="61"/>
      <c r="AQ225" s="61"/>
      <c r="AR225" s="61"/>
      <c r="AS225" s="61"/>
      <c r="AT225" s="61"/>
      <c r="AU225" s="61"/>
      <c r="AV225" s="92"/>
      <c r="AW225" s="92"/>
      <c r="AX225" s="93">
        <f t="shared" si="7"/>
      </c>
      <c r="AY225" s="61"/>
      <c r="AZ225" s="61"/>
      <c r="BA225" s="61"/>
      <c r="BB225" s="61"/>
      <c r="BC225" s="61">
        <f t="shared" si="11"/>
      </c>
      <c r="BD225" s="94">
        <f t="shared" si="12"/>
      </c>
      <c r="BE225" s="94">
        <f t="shared" si="13"/>
      </c>
      <c r="BF225" s="61"/>
      <c r="BG225" s="61"/>
      <c r="BH225" s="61"/>
      <c r="BI225" s="61"/>
      <c r="BJ225" s="61"/>
      <c r="BK225" s="61"/>
      <c r="BL225" s="61"/>
      <c r="BM225" s="61"/>
      <c r="BN225" s="61"/>
      <c r="BO225" s="61"/>
      <c r="BP225" s="61"/>
      <c r="BQ225" s="61"/>
      <c r="BR225" s="95"/>
      <c r="BS225" s="61"/>
      <c r="BT225" s="61"/>
    </row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00_Dashboard</vt:lpstr>
      <vt:lpstr>00_LichHen</vt:lpstr>
      <vt:lpstr>01_UngVien_PhongVan</vt:lpstr>
      <vt:lpstr>02_DS_Nhan_Viec</vt:lpstr>
      <vt:lpstr>03_Ho_So_Nhan_Vien</vt:lpstr>
      <vt:lpstr>04_DS_Nhan_Viec_Trong_Thang</vt:lpstr>
      <vt:lpstr>05_Theo_Doi_Gio_Cong_7_Ngay</vt:lpstr>
      <vt:lpstr>06_DS_Chinh_Thuc</vt:lpstr>
      <vt:lpstr>07_Kiem_Tra_Tay_Nghe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HRM D&amp;D Long An</dc:creator>
  <dc:title/>
  <dc:subject/>
  <dc:description/>
  <cp:keywords/>
  <cp:category/>
  <cp:lastModifiedBy>Unknown</cp:lastModifiedBy>
  <dcterms:created xsi:type="dcterms:W3CDTF">2026-09-05T06:42:11Z</dcterms:created>
  <dcterms:modified xsi:type="dcterms:W3CDTF">2026-09-05T06:42:11Z</dcterms:modified>
</cp:coreProperties>
</file>